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річний план" sheetId="1" r:id="rId1"/>
    <sheet name="додаток до річного плану" sheetId="2" r:id="rId2"/>
  </sheets>
  <definedNames>
    <definedName name="_xlnm.Print_Area" localSheetId="1">'додаток до річного плану'!$A$1:$G$349</definedName>
    <definedName name="_xlnm.Print_Area" localSheetId="0">'річний план'!$A$1:$F$52</definedName>
  </definedNames>
  <calcPr fullCalcOnLoad="1"/>
</workbook>
</file>

<file path=xl/sharedStrings.xml><?xml version="1.0" encoding="utf-8"?>
<sst xmlns="http://schemas.openxmlformats.org/spreadsheetml/2006/main" count="909" uniqueCount="527">
  <si>
    <t xml:space="preserve">ЗАТВЕРДЖЕНО </t>
  </si>
  <si>
    <t>Предмет закупівлі</t>
  </si>
  <si>
    <t>Примітки</t>
  </si>
  <si>
    <t>Відкриті торги</t>
  </si>
  <si>
    <t>Код КЕКВ (для бюджетних коштів) </t>
  </si>
  <si>
    <t>Процедура закупівлі</t>
  </si>
  <si>
    <t>Орієнтовний початок проведення процедури закупівлі</t>
  </si>
  <si>
    <t>М.П.</t>
  </si>
  <si>
    <t>Секретар комітету з конкурсних торгів</t>
  </si>
  <si>
    <t>комунального закладу "Черкаська обласна дитяча лікарня" Черкаської обласної ради</t>
  </si>
  <si>
    <t>Переговорна процедура закупівлі</t>
  </si>
  <si>
    <t>Б.О. Отрошко</t>
  </si>
  <si>
    <t>код за ЄДРПОУ 37478567</t>
  </si>
  <si>
    <t>Наказ Міністерства економічного</t>
  </si>
  <si>
    <t>розвитку і торгівлі України</t>
  </si>
  <si>
    <t>15 вересня 2014 року № 1106</t>
  </si>
  <si>
    <t>Очікувана вартість предмета закупівлі</t>
  </si>
  <si>
    <t>Публічне акціонерне товариство "по газопостачанню та газифікації "Черкасигаз"</t>
  </si>
  <si>
    <t>на 2015 рік</t>
  </si>
  <si>
    <t>Голова комітету з конкурсних торгів</t>
  </si>
  <si>
    <t>І.О. Бассараб</t>
  </si>
  <si>
    <t>січень 2015</t>
  </si>
  <si>
    <t>грудень 2014</t>
  </si>
  <si>
    <t>лютий 2015</t>
  </si>
  <si>
    <t>ПАТ «Черкасиобленерго» від імені якого діє Черкаський міський РЕМ</t>
  </si>
  <si>
    <t>сто дев'яносто вісім тисяч грн. 00 коп.</t>
  </si>
  <si>
    <t>двісті двадцять тисяч грн. 00 коп.</t>
  </si>
  <si>
    <t>10.71.1 - вироби хлібобулочні, кондитерські та кулінарні, борошняні, нетривалого зберігання (хліб пшеничний, хліб житній, батон)</t>
  </si>
  <si>
    <t>10.20.1 - продукція рибна, свіжа, охолоджена чи заморожена (риба свіжоморожена хек без голів, риба свіжоморожена минтай без голів) </t>
  </si>
  <si>
    <t>10.11.1 - м'ясо великої рогатої худоби, свиней, овець, кіз, коней та інших тварин родини конячих, свіже чи охолоджене (м'ясо ялове) (10.11.11-40.00)</t>
  </si>
  <si>
    <t>10.51.1 - молоко та вершки, рідинні, оброблені (молоко пастеризоване)</t>
  </si>
  <si>
    <t>96.01.1 - послуги щодо прання та хімічного чищення текстильних і хутряних виробів (прийняття, прання, дезінфекція, сушіння, прасування та пакування білизни)</t>
  </si>
  <si>
    <t>06.20.1 - газ природний, скраплений або в газоподібному стані (транспортування, розподіл та постачання природного газу)</t>
  </si>
  <si>
    <t>35.11.1 - енергія електрична (постачання електричної енергії для потреб лікарні)</t>
  </si>
  <si>
    <t>10.12.1 - м'ясо свійської птиці, свіже чи охолоджене (тушки курей, свіжі чи охолоджені) (10.12.10-10.00)</t>
  </si>
  <si>
    <t>березень 2015</t>
  </si>
  <si>
    <t>сто сорок одна тисяча грн. 00 коп.</t>
  </si>
  <si>
    <t>торги відмінені</t>
  </si>
  <si>
    <t>двісті сімдесят тисяч грн. 00 коп.</t>
  </si>
  <si>
    <t>сто сорок одна тисяча двадцять грн. 00 коп.</t>
  </si>
  <si>
    <t>квітень 2015</t>
  </si>
  <si>
    <r>
      <t xml:space="preserve">21.10.5 – </t>
    </r>
    <r>
      <rPr>
        <sz val="12"/>
        <color indexed="8"/>
        <rFont val="Times New Roman"/>
        <family val="1"/>
      </rPr>
      <t xml:space="preserve">Провітаміни, вітаміни й гормони; глікозиди та алкалоїди рослинного походження та їхні похідні; антибіотики (21.10.54-00.00 Антибіотики)  </t>
    </r>
  </si>
  <si>
    <t>21.20.2 - Препарати фармацевтичні, інші (реактиви лабораторні)</t>
  </si>
  <si>
    <t>червень 2015</t>
  </si>
  <si>
    <t>сто шістдесят дві тисячі п'ятсот грн. 00 коп.</t>
  </si>
  <si>
    <t>липень 2015</t>
  </si>
  <si>
    <t>ТОВ «Черкасигаз збут»</t>
  </si>
  <si>
    <t>один мільйон триста дев'яносто шість тисяч п'ятсот сімдесят сім грн. 00 коп.</t>
  </si>
  <si>
    <t>32.50.1 - інструменти і прилади медичні, хірургічні та стоматологічні</t>
  </si>
  <si>
    <t>вересень 2015</t>
  </si>
  <si>
    <t>сто сімдесят чотири тисячі триста сімдесят п'ять грн. 00 коп.</t>
  </si>
  <si>
    <t>сто шість тисяч дев'ятсот дев'яносто дев'ять грн. 00 коп.</t>
  </si>
  <si>
    <t>один мільйон дев'ятсот сімдесят шість тисяч сто сімдесят сім грн. 00 коп.</t>
  </si>
  <si>
    <t>сто вісім тисяч дев'ятсот двадцять сім грн. 00 коп.</t>
  </si>
  <si>
    <t>двісті шістдесят сім тисяч триста вісімдесят п'ять грн. 00 коп.</t>
  </si>
  <si>
    <t>сто дві тисячі сімсот шістдесят чотири грн. 00 коп.</t>
  </si>
  <si>
    <t>вісімдесят тисяч дев'ятсот тридцять грн. 00 коп.</t>
  </si>
  <si>
    <t>один мільйон вісімсот сорок п'ять тисяч грн. 00 коп.</t>
  </si>
  <si>
    <t>один мільйон чотириста двадцять одна тисяча чотириста вісімдесят п'ять грн. 00 коп.</t>
  </si>
  <si>
    <t>сто двадцять вісім тисяч дев'ятсот тридцять дев'ять грн. 00 коп.</t>
  </si>
  <si>
    <t>чотириста сорок шість тисяч тринадцять грн. 00 коп.</t>
  </si>
  <si>
    <t>РІЧНИЙ ПЛАН ЗАКУПІВЕЛЬ зі змінами</t>
  </si>
  <si>
    <t>Всього:</t>
  </si>
  <si>
    <t>3110</t>
  </si>
  <si>
    <t>26.20.1</t>
  </si>
  <si>
    <t>Меблі для сидіння та їхні частини</t>
  </si>
  <si>
    <t>в сумі 154 550 грн.</t>
  </si>
  <si>
    <t>Із спеціального фонду Інші надходження</t>
  </si>
  <si>
    <t>КЕКВ 3110 "Придбання обладнання і предметів довгострокового користування"</t>
  </si>
  <si>
    <t>3132</t>
  </si>
  <si>
    <t>95.11.1</t>
  </si>
  <si>
    <t>Ремонтування комп'ютерів і периферійного устатковання</t>
  </si>
  <si>
    <t>71.12.1</t>
  </si>
  <si>
    <t>Послуги інженерні</t>
  </si>
  <si>
    <t>в сумі 22 351 грн.</t>
  </si>
  <si>
    <t>Із спеціального фонду Благодійні внески, гранти та дарунки</t>
  </si>
  <si>
    <t xml:space="preserve"> КЕКВ 3132 Капітальний ремонт інших об'єктів       </t>
  </si>
  <si>
    <t>32.50.3</t>
  </si>
  <si>
    <t>Меблі медичні, хірургічні, стоматологічні та ветеринарні; крісла парикмахерські та подібні крісла; їхні частини</t>
  </si>
  <si>
    <t>31.01.1</t>
  </si>
  <si>
    <t>Меблі конторські/офісні та меблі для підприємств торгівлі</t>
  </si>
  <si>
    <t>31.00.1</t>
  </si>
  <si>
    <t>28.25.1</t>
  </si>
  <si>
    <t>Теплообмінники; установки для кондиціювання повітря непобутові, непобутове холодильне та морозильне устатковання</t>
  </si>
  <si>
    <t>Машини обчислювальні, частини та приладдя до них</t>
  </si>
  <si>
    <t>25.99.1</t>
  </si>
  <si>
    <t>Вироби для ванн і кухні, металеві</t>
  </si>
  <si>
    <t>22.22.1</t>
  </si>
  <si>
    <t>Тара пластмасова</t>
  </si>
  <si>
    <t>в сумі 46 032 грн.</t>
  </si>
  <si>
    <t>2282</t>
  </si>
  <si>
    <t>85.59.1</t>
  </si>
  <si>
    <t>Послуги освітянські, інші, н. в. і. у.</t>
  </si>
  <si>
    <t>в сумі 1 175 грн.</t>
  </si>
  <si>
    <t xml:space="preserve">КЕКВ 2282 "Окремі заходи по реалізації державних (регіональних) програм, не віднесені до заходів розвитку" </t>
  </si>
  <si>
    <t>2240</t>
  </si>
  <si>
    <t>86.90.1</t>
  </si>
  <si>
    <t>Послуги у сфері охорони здоров'я, інші</t>
  </si>
  <si>
    <t>86.21.1</t>
  </si>
  <si>
    <t>Послуги у сфері загальної лікарської практики</t>
  </si>
  <si>
    <t>71.20.1</t>
  </si>
  <si>
    <t>Послуги щодо технічного випробовування й аналізування</t>
  </si>
  <si>
    <t>70.22.3</t>
  </si>
  <si>
    <t>Послуги консультаційні щодо господарської діяльності, інші</t>
  </si>
  <si>
    <t>43.21.1</t>
  </si>
  <si>
    <t>Роботи електромонтажні</t>
  </si>
  <si>
    <t>33.13.1</t>
  </si>
  <si>
    <t>Ремонтування та технічне обслуговування електронного й оптичного устатковання</t>
  </si>
  <si>
    <t>33.12.1</t>
  </si>
  <si>
    <t>Ремонтування та технічне обслуговування машин загальної призначеності</t>
  </si>
  <si>
    <t>в сумі 64 444 грн.</t>
  </si>
  <si>
    <t xml:space="preserve"> КЕКВ 2240 Оплата послуг (крім комунальних)</t>
  </si>
  <si>
    <t>2210</t>
  </si>
  <si>
    <t>32.50.2</t>
  </si>
  <si>
    <t>Інструменти та прилади терапевтичні; приладдя, протези та ортопедичні пристрої</t>
  </si>
  <si>
    <t>31.09.1</t>
  </si>
  <si>
    <t>Меблі, інші</t>
  </si>
  <si>
    <t>29.31.2</t>
  </si>
  <si>
    <t>Устатковання електричне, інше, до моторних транспортних засобів і його частини</t>
  </si>
  <si>
    <t>28.99.3</t>
  </si>
  <si>
    <t>Машини й устатковання спеціальної призначеності, н. в. і. у.</t>
  </si>
  <si>
    <t>27.90.4</t>
  </si>
  <si>
    <t>Устатковання електричне, інше (зокрема електромагніти, електромагнітні зчеплення, муфти та гальма, електромагнітні підіймальні головки, пришвидшувачі заряджених частинок, генератори електричних сигналів), н. в. і. у.</t>
  </si>
  <si>
    <t>27.51.2</t>
  </si>
  <si>
    <t>Прилади електричні побутові, інші, н. в. і. у.</t>
  </si>
  <si>
    <t>27.40.1</t>
  </si>
  <si>
    <t>Лампи розжарювання та газорозрядні електричні; лампи дугові</t>
  </si>
  <si>
    <t>27.33.1</t>
  </si>
  <si>
    <t>Пристрої електромонтажні</t>
  </si>
  <si>
    <t>27.32.1</t>
  </si>
  <si>
    <t>Проводи та кабелі електронні й електричні, інші</t>
  </si>
  <si>
    <t>27.12.1</t>
  </si>
  <si>
    <t>Апаратура електрична для комутації чи захисту електричних кіл на напругу більше ніж 1000 В</t>
  </si>
  <si>
    <t>27.11.5</t>
  </si>
  <si>
    <t>Елементи баластні до розрядних ламп або трубок; перетворювачі статичні; дроселі та котушки індуктивності, інші</t>
  </si>
  <si>
    <t>26.60.1</t>
  </si>
  <si>
    <t>Устатковання радіологічне, електромедичне та електротерапевтичне устатковання</t>
  </si>
  <si>
    <t>26.40.3</t>
  </si>
  <si>
    <t>Апаратура для записування та відтворювання звуку й зображення</t>
  </si>
  <si>
    <t>26.20.2</t>
  </si>
  <si>
    <t>Блоки пам'яті та інші запам'ятовувальні пристрої</t>
  </si>
  <si>
    <t>25.94.1</t>
  </si>
  <si>
    <t>Вироби кріпильні та ґвинтонарізні</t>
  </si>
  <si>
    <t>25.73.4</t>
  </si>
  <si>
    <t>Деталі змінні до ручних інструментів з механічним урухомлювачем/приводом чи без нього, або до верстатів</t>
  </si>
  <si>
    <t>25.73.3</t>
  </si>
  <si>
    <t>Інструменти ручні, інші</t>
  </si>
  <si>
    <t>25.12.1</t>
  </si>
  <si>
    <t>Двері, вікна й рами до них і пороги до дверей металеві</t>
  </si>
  <si>
    <t>22.29.2</t>
  </si>
  <si>
    <t>Вироби пластмасові інші, н. в. і. у.</t>
  </si>
  <si>
    <t>22.19.7</t>
  </si>
  <si>
    <t>Вироби з вулканізованої ґуми, н. в. і. у.; ґума тверда; вироби з твердої ґуми</t>
  </si>
  <si>
    <t>20.52.1</t>
  </si>
  <si>
    <t>Клеї</t>
  </si>
  <si>
    <t>20.41.3</t>
  </si>
  <si>
    <t>Мило, засоби мийні та засоби для чищення</t>
  </si>
  <si>
    <t>19.20.2</t>
  </si>
  <si>
    <t>Паливо рідинне та газ; оливи мастильні</t>
  </si>
  <si>
    <t>17.23.1</t>
  </si>
  <si>
    <t>Вироби канцелярські, паперові</t>
  </si>
  <si>
    <t>16.21.2</t>
  </si>
  <si>
    <t>Шпон; листи до клеєної фанери; деревина пресована</t>
  </si>
  <si>
    <t>13.96.1</t>
  </si>
  <si>
    <t>Пряжа металізована чи пряжа скомбінована з металом; тканини з  металевих ниток і тканини з металізованої пряжі; нитки ґумові та корд, з текстильним покривом і продукція текстильна та готові вироби технічної призначеності</t>
  </si>
  <si>
    <t>в сумі 87 013 грн.</t>
  </si>
  <si>
    <t xml:space="preserve"> КЕКВ 2210 Предмети, матеріали, обладнання та інвентар                </t>
  </si>
  <si>
    <t>в сумі 48 190 грн.</t>
  </si>
  <si>
    <t>+ 10 000 грн. згідно довідки від 12.08.2015 № 03-02-34/926</t>
  </si>
  <si>
    <t>+ 20 000 грн. згідно довідки від 18.05.2015 № 03-02-34/614</t>
  </si>
  <si>
    <t>Із спеціального фонду Плата за оренду майна бюджетних установ</t>
  </si>
  <si>
    <t>2730</t>
  </si>
  <si>
    <t>65.12.1</t>
  </si>
  <si>
    <t>Послуги щодо страхування від нещасних випадків і страхування здоров'я</t>
  </si>
  <si>
    <t>в сумі 1 024 грн.</t>
  </si>
  <si>
    <t>+ 1 024 грн. згідно довідки від 08.04.2015 № 03-02-34/471</t>
  </si>
  <si>
    <t>КЕКВ 2730 "Інші виплати населенню"</t>
  </si>
  <si>
    <t>в сумі 5 150 грн.</t>
  </si>
  <si>
    <t>+ 650 грн. згідно довідки від 25.08.2015 № 03-02-34/968</t>
  </si>
  <si>
    <t>+ 4 500 грн. згідно довідки від 08.04.2015 № 03-02-34/471</t>
  </si>
  <si>
    <t>62.02.2</t>
  </si>
  <si>
    <t>Послуги щодо консультування стосовно систем і програмного забезпечення</t>
  </si>
  <si>
    <t>38.12.1</t>
  </si>
  <si>
    <t>Збирання небезпечних відходів</t>
  </si>
  <si>
    <t>33.20.2</t>
  </si>
  <si>
    <t>Монтування машин і устатковання загальної призначеності</t>
  </si>
  <si>
    <t>в сумі 30 396 грн.</t>
  </si>
  <si>
    <t>+ 5 000 грн. згідно довідки від 25.08.2015 № 03-02-34/968</t>
  </si>
  <si>
    <t>- 1 000 грн. згідно довідки від 08.05.2015 № 03-02-34/583</t>
  </si>
  <si>
    <t>- 5 524 грн. згідно довідки від 08.04.2015 № 03-02-34/471</t>
  </si>
  <si>
    <t>- 2 975 грн. згідно довідки від 16.02.2015 № 03-02-34/126</t>
  </si>
  <si>
    <t>Кредиторська заборгованість на 01.01.2015</t>
  </si>
  <si>
    <t>32.99.1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</si>
  <si>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</si>
  <si>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26.51.6</t>
  </si>
  <si>
    <t>Інструменти та прилади вимірювальні, контрольні та випробовувальні, інші</t>
  </si>
  <si>
    <t>20.30.2</t>
  </si>
  <si>
    <t>Фарби та лаки, інші, та пов'язана з ними продукція; барвники художні та друкарські чорнила</t>
  </si>
  <si>
    <t>в сумі 4 350 грн.</t>
  </si>
  <si>
    <t>- 5 650 грн. згідно довідки від 25.08.2015 № 03-02-34/968</t>
  </si>
  <si>
    <t>- 10 000 грн. згідно довідки від 12.08.2015 № 03-02-34/926</t>
  </si>
  <si>
    <t>- 20 000 грн. згідно довідки від 18.05.2015 № 03-02-34/614</t>
  </si>
  <si>
    <t>в сумі 7 000 грн.</t>
  </si>
  <si>
    <t>по тимч. кошт. 82500,00</t>
  </si>
  <si>
    <t>по тимч. кошт. 41250,00</t>
  </si>
  <si>
    <t>2272</t>
  </si>
  <si>
    <t>37.00.1</t>
  </si>
  <si>
    <t>Послуги каналізаційні</t>
  </si>
  <si>
    <t>36.00.1</t>
  </si>
  <si>
    <t>Вода природна</t>
  </si>
  <si>
    <t>в сумі 183 000 грн.</t>
  </si>
  <si>
    <t>КЕКВ 2272 "Оплата водопостачання та водовідведення"</t>
  </si>
  <si>
    <t>35.30.1</t>
  </si>
  <si>
    <t>Пара та гаряча вода; постачання пари та гарячої води</t>
  </si>
  <si>
    <t>КЕКВ 2271 "Оплата теплопостачання"</t>
  </si>
  <si>
    <t>Поточний ремонт по ДБН</t>
  </si>
  <si>
    <t>96.01.1</t>
  </si>
  <si>
    <t>Послуги щодо прання та хімічного чищення текстильних і хутряних виробів</t>
  </si>
  <si>
    <t>84.13.1</t>
  </si>
  <si>
    <t>Послуги адміністративні щодо підвищування ефективності господарської діяльності</t>
  </si>
  <si>
    <t>81.29.1</t>
  </si>
  <si>
    <t>Послуги щодо очищування, інші</t>
  </si>
  <si>
    <t>80.20.1</t>
  </si>
  <si>
    <t>Послуги систем безпеки</t>
  </si>
  <si>
    <t>77.39.1</t>
  </si>
  <si>
    <t>Послуги щодо оренди та лізингу інших машин, устатковання та майна, н. в. і. у.</t>
  </si>
  <si>
    <t>74.90.1</t>
  </si>
  <si>
    <t>Послуги щодо надання професійної та технічної допомоги та консультаційні, н. в. і. у.</t>
  </si>
  <si>
    <t>70.22.1</t>
  </si>
  <si>
    <t>Послуги консультаційні щодо керування підприємствами</t>
  </si>
  <si>
    <t>65.12.2</t>
  </si>
  <si>
    <t>Послуги щодо страхування автотранспорту</t>
  </si>
  <si>
    <t>64.19.3</t>
  </si>
  <si>
    <t>Послуги щодо грошового посередництва, інші, н. в. і. у.</t>
  </si>
  <si>
    <t>63.11.1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</si>
  <si>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</si>
  <si>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61.20.1</t>
  </si>
  <si>
    <t>Послуги мобільного зв'язку й послуги приватних мереж для систем безпроводового зв'язку</t>
  </si>
  <si>
    <t>61.10.4</t>
  </si>
  <si>
    <t>Послуги зв'язку Інтернетом проводовими мережами</t>
  </si>
  <si>
    <t>61.10.1</t>
  </si>
  <si>
    <t>Послуги щодо передавання даних і повідомлень</t>
  </si>
  <si>
    <t>53.20.1</t>
  </si>
  <si>
    <t>Послуги поштові та кур'єрські, інші</t>
  </si>
  <si>
    <t>45.20.1</t>
  </si>
  <si>
    <t>Технічне обслуговування та ремонтування автомобілів і маловантажних автотранспортних засобів</t>
  </si>
  <si>
    <t>43.22.1</t>
  </si>
  <si>
    <t>Монтаж водопровідних, каналізаційних, систем опалювання, вентиляції та кондиціювання повітря</t>
  </si>
  <si>
    <t>38.11.2</t>
  </si>
  <si>
    <t>Збирання безпечних відходів, непридатних для вторинного використовування</t>
  </si>
  <si>
    <t>33.20.4</t>
  </si>
  <si>
    <t>Монтування електронного та оптичного устатковання</t>
  </si>
  <si>
    <t>33.19.1</t>
  </si>
  <si>
    <t>Ремонтування іншого устатковання</t>
  </si>
  <si>
    <t>33.14.1</t>
  </si>
  <si>
    <t>Ремонтування та технічне обслуговування іншого електричного устатковання</t>
  </si>
  <si>
    <t>33.12.2</t>
  </si>
  <si>
    <t>Ремонтування та технічне обслуговування машин і устатковання спеціальної призначеності</t>
  </si>
  <si>
    <t xml:space="preserve"> 33.11.1</t>
  </si>
  <si>
    <t>Ремонтування та технічне обслуговування металевих виробів</t>
  </si>
  <si>
    <t>в сумі 1 428 667 грн.</t>
  </si>
  <si>
    <t>+100 000 грн. згідно довідки від 22.09.2015 № 03-02-34/1075</t>
  </si>
  <si>
    <t>+ 120 000 грн. згідно довідки від 04.09.2015 № 03-02-34/1012</t>
  </si>
  <si>
    <t>+ 40 267 грн. згідно довідки від 10.03.2015 № 03-02-34/277</t>
  </si>
  <si>
    <t/>
  </si>
  <si>
    <t>20.13.4</t>
  </si>
  <si>
    <t>Сульфіди, сульфати; нітрати, фосфати і карбонати</t>
  </si>
  <si>
    <t>10.89.1</t>
  </si>
  <si>
    <t>Супи, яйця, дріжджі та інші харчові продукти; екстракти та соки з м'яса, риби й водяних безхребетних</t>
  </si>
  <si>
    <t>10.86.1</t>
  </si>
  <si>
    <t>Продукти харчові готові гомогенізовані для дитячого та дієтичного харчування</t>
  </si>
  <si>
    <t>10.84.3</t>
  </si>
  <si>
    <t>Сіль харчова</t>
  </si>
  <si>
    <t>10.83.1</t>
  </si>
  <si>
    <t>Чай і кава, оброблені</t>
  </si>
  <si>
    <t>10.82.2</t>
  </si>
  <si>
    <t>Шоколад і цукрові кондитерські вироби</t>
  </si>
  <si>
    <t>10.81.1</t>
  </si>
  <si>
    <t>Цукор-сирець, тростинний і очищений тростинний чи буряковий цукор (сахароза); меляса</t>
  </si>
  <si>
    <t>10.73.1</t>
  </si>
  <si>
    <t>Макарони, локшина, кускус і подібні борошняні вироби</t>
  </si>
  <si>
    <t>10.71.1</t>
  </si>
  <si>
    <t>Вироби хлібобулочні, кондитерські та кулінарні, борошняні, нетривалого зберігання</t>
  </si>
  <si>
    <t>10.61.3</t>
  </si>
  <si>
    <t>Крупи, крупка, гранули та інші продукти з зерна зернових культур</t>
  </si>
  <si>
    <t>10.61.2</t>
  </si>
  <si>
    <t>Борошно зернових і овочевих культур; їхні суміші</t>
  </si>
  <si>
    <t>10.61.1</t>
  </si>
  <si>
    <t>Рис напівобрушений чи повністю обрушений, або лущений чи дроблений</t>
  </si>
  <si>
    <t>10.51.5</t>
  </si>
  <si>
    <t>Продукти молочні, інші</t>
  </si>
  <si>
    <t>10.51.4</t>
  </si>
  <si>
    <t>Сир сичужний та кисломолочний сир</t>
  </si>
  <si>
    <t>10.51.3</t>
  </si>
  <si>
    <t>Масло вершкове та молочні пасти</t>
  </si>
  <si>
    <t>10.51.1</t>
  </si>
  <si>
    <t>Молоко та вершки, рідинні, оброблені</t>
  </si>
  <si>
    <t>10.41.2</t>
  </si>
  <si>
    <t>Олії сирі</t>
  </si>
  <si>
    <t>10.39.2</t>
  </si>
  <si>
    <t>Плоди й горіхи, оброблені та законсервовані</t>
  </si>
  <si>
    <t>10.39.1</t>
  </si>
  <si>
    <t>Плоди та овочі, оброблені та законсервовані, крім картоплі</t>
  </si>
  <si>
    <t>10.32.1</t>
  </si>
  <si>
    <t>Соки фруктові та овочеві</t>
  </si>
  <si>
    <t>10.20.1</t>
  </si>
  <si>
    <t>Продукція рибна, свіжа, охолоджена чи заморожена</t>
  </si>
  <si>
    <t>10.13.1</t>
  </si>
  <si>
    <t>Консерви та готові страви з м'яса, м'ясних субпродуктів чи крові</t>
  </si>
  <si>
    <t>10.12.1</t>
  </si>
  <si>
    <t>М'ясо свійської птиці, свіже чи охолоджене</t>
  </si>
  <si>
    <t>10.11.1</t>
  </si>
  <si>
    <t>М'ясо великої рогатої худоби, свиней, овець, кіз, коней та інших тварин родини конячих, свіже чи охолоджене</t>
  </si>
  <si>
    <t>01.47.2</t>
  </si>
  <si>
    <t>Яйця у шкаралупі, свіжі</t>
  </si>
  <si>
    <t>01.24.1</t>
  </si>
  <si>
    <t>Яблука</t>
  </si>
  <si>
    <t>01.13.5</t>
  </si>
  <si>
    <t>Коренеплоди та бульби їстівні з високим умістом крохмалю та інуліну</t>
  </si>
  <si>
    <t>01.13.4</t>
  </si>
  <si>
    <t>Овочі коренеплідні, цибулинні та бульбоплідні</t>
  </si>
  <si>
    <t>01.13.3</t>
  </si>
  <si>
    <t>Культури овочеві плодоносні, інші</t>
  </si>
  <si>
    <t>01.13.1</t>
  </si>
  <si>
    <t>Овочі листкові</t>
  </si>
  <si>
    <t>01.11.7</t>
  </si>
  <si>
    <t>Овочі бобові сушені</t>
  </si>
  <si>
    <t>в сумі 976 008  грн.</t>
  </si>
  <si>
    <t xml:space="preserve">КЕКВ 2230 “Продукти харчування” </t>
  </si>
  <si>
    <t>2220</t>
  </si>
  <si>
    <t>32.50.5</t>
  </si>
  <si>
    <t>Вироби медичної та хірургічної призначеності, інші</t>
  </si>
  <si>
    <t>32.50.1</t>
  </si>
  <si>
    <t>Інструменти і прилади медичні, хірургічні та стоматологічні</t>
  </si>
  <si>
    <t>26.51.8</t>
  </si>
  <si>
    <t>Частини та приладдя до вимірювального, випробовувального та навігаційного устатковання</t>
  </si>
  <si>
    <t>23.19.2</t>
  </si>
  <si>
    <t>Скло технічне та інше скло</t>
  </si>
  <si>
    <t>22.19.6</t>
  </si>
  <si>
    <t>Предмети одягу та аксесуари одягу з вулканізованої ґуми (крім виготовлених з твердої ґуми)</t>
  </si>
  <si>
    <t>21.20.2</t>
  </si>
  <si>
    <t>Препарати фармацевтичні, інші</t>
  </si>
  <si>
    <t>21.20.1</t>
  </si>
  <si>
    <t>Ліки</t>
  </si>
  <si>
    <t xml:space="preserve"> 21.10.6</t>
  </si>
  <si>
    <t>Залози та інші органи, екстракти цих речовин та інші речовини людського чи тваринного походження, н. в. і. у.</t>
  </si>
  <si>
    <t>21.10.5</t>
  </si>
  <si>
    <t>Провітаміни, вітаміни й гормони; глікозиди та алкалоїди рослинного походження та їхні похідні; антибіотики</t>
  </si>
  <si>
    <t>21.10.3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</si>
  <si>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</si>
  <si>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21.10.2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</si>
  <si>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</t>
  </si>
  <si>
    <t>20.59.6</t>
  </si>
  <si>
    <t>Желатин і його похідні, зокрема молочні альбуміни</t>
  </si>
  <si>
    <t>20.59.5</t>
  </si>
  <si>
    <t>Продукти хімічні різноманітні</t>
  </si>
  <si>
    <t>20.59.1</t>
  </si>
  <si>
    <t>Фотопластинки й фотоплівки, плівка для миттєвого друку; фотохімікати та фотографічні незмішані речовини</t>
  </si>
  <si>
    <t>20.20.1</t>
  </si>
  <si>
    <t>Пестициди та інші агрохімічні продукти</t>
  </si>
  <si>
    <t>20.14.7</t>
  </si>
  <si>
    <t>Продукти хімічні органічні, основні, різноманітні</t>
  </si>
  <si>
    <t>20.14.5</t>
  </si>
  <si>
    <t>Сполуки сіркоорганічні та інші органічно-неорганічні сполуки; гетероциклічні сполуки, н. в. і. у.</t>
  </si>
  <si>
    <t>20.14.4</t>
  </si>
  <si>
    <t>Сполуки органічні з азотною функційною групою</t>
  </si>
  <si>
    <t>20.14.2</t>
  </si>
  <si>
    <t>Спирти, феноли, фенолоспирти та їхні галогено-, сульфо-, нітрони нітрозопохідні; спирти жирні технічні</t>
  </si>
  <si>
    <t>20.14.1</t>
  </si>
  <si>
    <t>Вуглеводні та їхні похідні</t>
  </si>
  <si>
    <t>20.13.6</t>
  </si>
  <si>
    <t>Речовини хімічні неорганічні основні, інші, н. в. і. у.</t>
  </si>
  <si>
    <t>20.13.5</t>
  </si>
  <si>
    <t>Солі інших металів</t>
  </si>
  <si>
    <t>20.13.3</t>
  </si>
  <si>
    <t>Солі металів галоїдні; гіпохлорити, хлорати й перхлорати</t>
  </si>
  <si>
    <t>20.13.2</t>
  </si>
  <si>
    <t>Елементи хімічні, н. в. і. у.; кислоти та сполуки неорганічні</t>
  </si>
  <si>
    <t>20.12.2</t>
  </si>
  <si>
    <t>Екстракти фарбувальні та дубильні; таніни та їхні похідні; речовини фарбувальні, н. в. і. у.</t>
  </si>
  <si>
    <t>20.11.1</t>
  </si>
  <si>
    <t>Гази промислові</t>
  </si>
  <si>
    <t>17.12.4</t>
  </si>
  <si>
    <t>Папір некрейдований</t>
  </si>
  <si>
    <t>17.12.2</t>
  </si>
  <si>
    <t>Серветки паперові туалетні, серветки для обличчя, рушники, скатертини-серветки, целюлозна вата й полотна з целюлозних волокон</t>
  </si>
  <si>
    <t>13.20.2</t>
  </si>
  <si>
    <t>Тканини бавовняні</t>
  </si>
  <si>
    <t>10.62.1</t>
  </si>
  <si>
    <t>Крохмалі і крохмалепродукти; цукор і цукрові сиропи, н. в. і. у.</t>
  </si>
  <si>
    <t>в сумі 1 440 502 грн.</t>
  </si>
  <si>
    <t xml:space="preserve">КЕКВ 2220 “Медикаменти та перев'язувальні матеріали” </t>
  </si>
  <si>
    <t>58.19.1</t>
  </si>
  <si>
    <t>Послуги щодо видавання друкованої продукції, інші</t>
  </si>
  <si>
    <t xml:space="preserve"> 58.14.1</t>
  </si>
  <si>
    <t>Журнали та періодичні видання друковані</t>
  </si>
  <si>
    <t>58.11.1</t>
  </si>
  <si>
    <t>Книжки друковані</t>
  </si>
  <si>
    <t>32.91.1</t>
  </si>
  <si>
    <t>Мітли та щітки</t>
  </si>
  <si>
    <t xml:space="preserve">в т.ч. 24000 грн. додаткові кошти згідно довідки №03-02-34/597 від 14.05.2015 </t>
  </si>
  <si>
    <t>31.03.1</t>
  </si>
  <si>
    <t>Матраци</t>
  </si>
  <si>
    <t>29.32.3</t>
  </si>
  <si>
    <t>Частини та приладдя до моторних транспортних засобів, н. в. і. у.</t>
  </si>
  <si>
    <t>28.91.1</t>
  </si>
  <si>
    <t>Машини й устатковання та їхні частини для металургійної промисловості</t>
  </si>
  <si>
    <t>28.29.2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</si>
  <si>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</t>
  </si>
  <si>
    <t>28.29.1</t>
  </si>
  <si>
    <t>Газогенератори, дистиляційні та фільтрувальні апарати</t>
  </si>
  <si>
    <t>28.23.1</t>
  </si>
  <si>
    <t>Машинки друкарські, машини для обробляння текстів і лічильні машини</t>
  </si>
  <si>
    <t>28.14.1</t>
  </si>
  <si>
    <t>Крани, вентилі, клапани та подібні вироби до труб, котлів, резервуарів, цистерн і подібних виробів</t>
  </si>
  <si>
    <t>28.12.1</t>
  </si>
  <si>
    <t>Устатковання силове гідравлічне та пневматичне, крім його частин</t>
  </si>
  <si>
    <t>27.90.3</t>
  </si>
  <si>
    <t>Устатковання для паяння м'якими та твердими припоями чи зварювання, машини й апарати для поверхневого термообробляння та гарячого напилення, електричні</t>
  </si>
  <si>
    <t>27.90.1</t>
  </si>
  <si>
    <t>Устатковання електричне, інше, та його частини</t>
  </si>
  <si>
    <t>27.40.3</t>
  </si>
  <si>
    <t>Лампи та світильники, інші</t>
  </si>
  <si>
    <t>27.40.2</t>
  </si>
  <si>
    <t>Лампи та світильники</t>
  </si>
  <si>
    <t>27.20.2</t>
  </si>
  <si>
    <t>Акумулятори електричні та частини до них</t>
  </si>
  <si>
    <t>27.20.1</t>
  </si>
  <si>
    <t>Елементи первинні, первинні батареї та частини до них</t>
  </si>
  <si>
    <t>27.12.3</t>
  </si>
  <si>
    <t>Пульти, панелі та інші основи</t>
  </si>
  <si>
    <t>27.12.2</t>
  </si>
  <si>
    <t>Апаратура електрична для комутації чи захисту електричних кіл, на напругу не більше ніж 1000 В</t>
  </si>
  <si>
    <t>26.51.5</t>
  </si>
  <si>
    <t>Прилади для контролювання інших фізичних характеристик</t>
  </si>
  <si>
    <t>26.51.4</t>
  </si>
  <si>
    <t>Прилади для вимірювання електричних величин і йонізівного випромінювання</t>
  </si>
  <si>
    <t>26.51.3</t>
  </si>
  <si>
    <t>Терези точні; інструменти для креслення, розраховування, вимірювання лінійних розмірів і подібної призначеності</t>
  </si>
  <si>
    <t>26.20.4</t>
  </si>
  <si>
    <t>Частини та приладдя до обчислювальних машин</t>
  </si>
  <si>
    <t>26.11.3</t>
  </si>
  <si>
    <t>Схеми електронні інтегровані</t>
  </si>
  <si>
    <t>25.99.2</t>
  </si>
  <si>
    <t>Вироби з недорогоцінних металів, інші</t>
  </si>
  <si>
    <t>25.93.1</t>
  </si>
  <si>
    <t>Вироби з дроту, ланцюги та пружини</t>
  </si>
  <si>
    <t>25.92.1</t>
  </si>
  <si>
    <t>Вмістини металеві легкі</t>
  </si>
  <si>
    <t>25.91.1</t>
  </si>
  <si>
    <t>Барабани та подібні вмістища зі сталі</t>
  </si>
  <si>
    <t>25.73.6</t>
  </si>
  <si>
    <t>Інструменти, інші</t>
  </si>
  <si>
    <t>25.73.1</t>
  </si>
  <si>
    <t>Інструменти ручні для використання в сільському господарстві, садівництві чи лісовому господарстві</t>
  </si>
  <si>
    <t>25.72.1</t>
  </si>
  <si>
    <t>Замки та завіси</t>
  </si>
  <si>
    <t>25.11.2</t>
  </si>
  <si>
    <t>Вироби конструкційні металеві та їхні частини</t>
  </si>
  <si>
    <t>24.43.2</t>
  </si>
  <si>
    <t>Напівфабрикати зі свинцю, цинку і олова та їх сплави</t>
  </si>
  <si>
    <t>24.20.4</t>
  </si>
  <si>
    <t>Фітинги до труб чи трубок зі сталі, не литі</t>
  </si>
  <si>
    <t>24.20.1</t>
  </si>
  <si>
    <t>Труби, трубки, порожнисті профілі, безшовні, зі сталі</t>
  </si>
  <si>
    <t>24.10.5</t>
  </si>
  <si>
    <t>Прокат плаский із сталі, плакований, з гальванічним або іншим покривом і прокат плаский зі швидкорізальної сталі та кремнієвої електротехнічної сталі</t>
  </si>
  <si>
    <t>23.99.1</t>
  </si>
  <si>
    <t>Вироби мінеральні неметалеві, інші, н. в. і. у.</t>
  </si>
  <si>
    <t>23.91.1</t>
  </si>
  <si>
    <t>Вироби абразивні</t>
  </si>
  <si>
    <t>23.69.1</t>
  </si>
  <si>
    <t>Вироби з бетону, гіпсу або цементу, інші</t>
  </si>
  <si>
    <t>23.62.1</t>
  </si>
  <si>
    <t>Вироби з гіпсу для будівництві</t>
  </si>
  <si>
    <t>23.41.1</t>
  </si>
  <si>
    <t>Вироби господарські та декоративні керамічні</t>
  </si>
  <si>
    <t>23.31.1</t>
  </si>
  <si>
    <t>Плитка та плити керамічні</t>
  </si>
  <si>
    <t>23.20.1</t>
  </si>
  <si>
    <t>Вироби вогнетривкі</t>
  </si>
  <si>
    <t>23.14.1</t>
  </si>
  <si>
    <t>Скловолокно</t>
  </si>
  <si>
    <t>22.23.1</t>
  </si>
  <si>
    <t>Вироби пластмасові для будівництва; лінолеум і покриви на підлогу, тверді, не пластикові</t>
  </si>
  <si>
    <t>22.21.2</t>
  </si>
  <si>
    <t>Труби, трубки, шланги та фітинги до них пластмасові</t>
  </si>
  <si>
    <t>22.19.4</t>
  </si>
  <si>
    <t>Стрічки конвеєрні чи урухомлювальні/приводні паси з вулканізованої ґуми</t>
  </si>
  <si>
    <t>22.19.3</t>
  </si>
  <si>
    <t>Труби, трубки та шланги з вулканізованої ґуми (крім виготовлених з твердої ґуми)</t>
  </si>
  <si>
    <t>22.11.1</t>
  </si>
  <si>
    <t>Шини та камери ґумові нові</t>
  </si>
  <si>
    <t>20.59.4</t>
  </si>
  <si>
    <t>Засоби змащувальні; присадки; речовини антифризні готові</t>
  </si>
  <si>
    <t>20.30.1</t>
  </si>
  <si>
    <t>Фарби та лаки на основі полімерів</t>
  </si>
  <si>
    <t>20.15.8</t>
  </si>
  <si>
    <t>Добрива рослинного чи тваринного походження, н. в. і. у.</t>
  </si>
  <si>
    <t>20.14.3</t>
  </si>
  <si>
    <t>Кислоти монокарбонові жирні технічні; кислоти карбонові та їхні солі</t>
  </si>
  <si>
    <t>19.20.4</t>
  </si>
  <si>
    <t>Продукти нафтопереробляння, інші</t>
  </si>
  <si>
    <t>16.10.2</t>
  </si>
  <si>
    <t>Деревина у формі погонажу, профільованого уздовж будь-яких країв або площин; шерсть деревна; борошно деревне; стружка чи тріска деревні</t>
  </si>
  <si>
    <t>16.10.1</t>
  </si>
  <si>
    <t>Деревина, розпиляна чи розколота вздовж, розділена на шари або лущена, завтовшки більше ніж 6 мм; шпали дерев'яні до залізничних або трамвайних колій, непросочені</t>
  </si>
  <si>
    <t>14.12.3</t>
  </si>
  <si>
    <t>Одяг робочий, інший</t>
  </si>
  <si>
    <t>13.94.1</t>
  </si>
  <si>
    <t>Мотузки, канати, шпагат і сіткове полотно, крім відходів</t>
  </si>
  <si>
    <t xml:space="preserve">в т.ч. 16600 грн. додаткові кошти згідно довідки №03-02-34/597 від 14.05.2015 </t>
  </si>
  <si>
    <t>13.92.2</t>
  </si>
  <si>
    <t>Вироби текстильні готові, інші</t>
  </si>
  <si>
    <t xml:space="preserve">в т.ч. 19400 грн. додаткові кошти згідно довідки №03-02-34/597 від 14.05.2015 </t>
  </si>
  <si>
    <t>13.92.1</t>
  </si>
  <si>
    <t>Вироби текстильні готові для домашнього господарства</t>
  </si>
  <si>
    <t>13.10.2</t>
  </si>
  <si>
    <t>Волокна текстильні натуральні, підготовлені для прядіння</t>
  </si>
  <si>
    <t>08.93.1</t>
  </si>
  <si>
    <t>Сіль і чистий хлорид натрію; вода морська та сольові розчини</t>
  </si>
  <si>
    <t>в сумі 971 371 грн.</t>
  </si>
  <si>
    <t>-100 000 грн. згідно довідки від 22.09.2015 № 03-02-34/1075</t>
  </si>
  <si>
    <t>+60 000 грн. згідно довідки від 15.05.2015 № 03-02-34/597</t>
  </si>
  <si>
    <t>+ 44 171 грн. згідно довідки від 10.03.2015 № 03-02-34/277</t>
  </si>
  <si>
    <t>Код КЕКВ (для бюджетних коштів)</t>
  </si>
  <si>
    <t>Додаток до річного плану закупівель із змінами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</si>
</sst>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_н_.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  <numFmt numFmtId="197" formatCode="#,##0.00\ [$грн.-422]"/>
    <numFmt numFmtId="198" formatCode="#,##0.00_р_.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192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92" fontId="3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wrapText="1"/>
    </xf>
    <xf numFmtId="0" fontId="38" fillId="0" borderId="0" xfId="55" applyFont="1">
      <alignment/>
      <protection/>
    </xf>
    <xf numFmtId="0" fontId="38" fillId="0" borderId="0" xfId="55" applyFont="1" applyFill="1">
      <alignment/>
      <protection/>
    </xf>
    <xf numFmtId="0" fontId="38" fillId="0" borderId="0" xfId="55" applyFont="1" applyBorder="1">
      <alignment/>
      <protection/>
    </xf>
    <xf numFmtId="0" fontId="7" fillId="0" borderId="0" xfId="49" applyFont="1" applyFill="1" applyBorder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left" wrapText="1"/>
      <protection/>
    </xf>
    <xf numFmtId="14" fontId="26" fillId="0" borderId="0" xfId="55" applyNumberFormat="1" applyFont="1" applyBorder="1">
      <alignment/>
      <protection/>
    </xf>
    <xf numFmtId="0" fontId="7" fillId="0" borderId="0" xfId="49" applyFont="1" applyFill="1" applyBorder="1" applyAlignment="1">
      <alignment horizontal="left"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4" fontId="7" fillId="0" borderId="0" xfId="49" applyNumberFormat="1" applyFont="1" applyFill="1" applyBorder="1" applyAlignment="1">
      <alignment horizontal="center"/>
      <protection/>
    </xf>
    <xf numFmtId="49" fontId="7" fillId="0" borderId="0" xfId="49" applyNumberFormat="1" applyFont="1" applyFill="1" applyBorder="1" applyAlignment="1">
      <alignment horizontal="right"/>
      <protection/>
    </xf>
    <xf numFmtId="0" fontId="38" fillId="0" borderId="10" xfId="55" applyFont="1" applyBorder="1">
      <alignment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4" fontId="7" fillId="0" borderId="10" xfId="49" applyNumberFormat="1" applyFont="1" applyFill="1" applyBorder="1" applyAlignment="1">
      <alignment horizontal="center"/>
      <protection/>
    </xf>
    <xf numFmtId="49" fontId="7" fillId="0" borderId="10" xfId="49" applyNumberFormat="1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vertical="top" wrapText="1"/>
      <protection/>
    </xf>
    <xf numFmtId="0" fontId="38" fillId="0" borderId="15" xfId="55" applyFont="1" applyBorder="1">
      <alignment/>
      <protection/>
    </xf>
    <xf numFmtId="0" fontId="7" fillId="0" borderId="16" xfId="49" applyFont="1" applyFill="1" applyBorder="1" applyAlignment="1">
      <alignment horizontal="center" vertical="center" wrapText="1"/>
      <protection/>
    </xf>
    <xf numFmtId="0" fontId="38" fillId="0" borderId="16" xfId="55" applyFont="1" applyBorder="1">
      <alignment/>
      <protection/>
    </xf>
    <xf numFmtId="0" fontId="7" fillId="0" borderId="16" xfId="49" applyFont="1" applyFill="1" applyBorder="1" applyAlignment="1">
      <alignment wrapText="1"/>
      <protection/>
    </xf>
    <xf numFmtId="0" fontId="7" fillId="0" borderId="16" xfId="49" applyFont="1" applyFill="1" applyBorder="1" applyAlignment="1">
      <alignment horizontal="center" wrapText="1"/>
      <protection/>
    </xf>
    <xf numFmtId="0" fontId="7" fillId="34" borderId="0" xfId="49" applyFont="1" applyFill="1">
      <alignment/>
      <protection/>
    </xf>
    <xf numFmtId="0" fontId="38" fillId="0" borderId="17" xfId="55" applyFont="1" applyBorder="1">
      <alignment/>
      <protection/>
    </xf>
    <xf numFmtId="4" fontId="7" fillId="0" borderId="0" xfId="49" applyNumberFormat="1" applyFont="1" applyFill="1" applyBorder="1" applyAlignment="1">
      <alignment horizontal="center" wrapText="1"/>
      <protection/>
    </xf>
    <xf numFmtId="197" fontId="7" fillId="0" borderId="0" xfId="49" applyNumberFormat="1" applyFont="1" applyFill="1" applyBorder="1" applyAlignment="1">
      <alignment/>
      <protection/>
    </xf>
    <xf numFmtId="0" fontId="7" fillId="0" borderId="0" xfId="49" applyFont="1" applyFill="1" applyBorder="1" applyAlignment="1">
      <alignment wrapText="1"/>
      <protection/>
    </xf>
    <xf numFmtId="0" fontId="38" fillId="0" borderId="18" xfId="55" applyFont="1" applyBorder="1">
      <alignment/>
      <protection/>
    </xf>
    <xf numFmtId="0" fontId="7" fillId="0" borderId="19" xfId="49" applyFont="1" applyFill="1" applyBorder="1" applyAlignment="1">
      <alignment horizontal="center" vertical="center" wrapText="1"/>
      <protection/>
    </xf>
    <xf numFmtId="0" fontId="38" fillId="0" borderId="19" xfId="55" applyFont="1" applyBorder="1">
      <alignment/>
      <protection/>
    </xf>
    <xf numFmtId="0" fontId="7" fillId="0" borderId="19" xfId="49" applyFont="1" applyFill="1" applyBorder="1" applyAlignment="1">
      <alignment wrapText="1"/>
      <protection/>
    </xf>
    <xf numFmtId="0" fontId="38" fillId="0" borderId="10" xfId="55" applyFont="1" applyFill="1" applyBorder="1">
      <alignment/>
      <protection/>
    </xf>
    <xf numFmtId="4" fontId="7" fillId="35" borderId="10" xfId="49" applyNumberFormat="1" applyFont="1" applyFill="1" applyBorder="1" applyAlignment="1">
      <alignment horizontal="center"/>
      <protection/>
    </xf>
    <xf numFmtId="0" fontId="38" fillId="0" borderId="17" xfId="55" applyBorder="1">
      <alignment/>
      <protection/>
    </xf>
    <xf numFmtId="49" fontId="7" fillId="0" borderId="0" xfId="49" applyNumberFormat="1" applyFont="1" applyFill="1" applyBorder="1" applyAlignment="1">
      <alignment vertical="top" wrapText="1"/>
      <protection/>
    </xf>
    <xf numFmtId="0" fontId="7" fillId="34" borderId="0" xfId="49" applyFont="1" applyFill="1" applyBorder="1" applyAlignment="1">
      <alignment wrapText="1"/>
      <protection/>
    </xf>
    <xf numFmtId="49" fontId="7" fillId="0" borderId="20" xfId="49" applyNumberFormat="1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/>
      <protection/>
    </xf>
    <xf numFmtId="197" fontId="7" fillId="0" borderId="16" xfId="49" applyNumberFormat="1" applyFont="1" applyFill="1" applyBorder="1" applyAlignment="1">
      <alignment/>
      <protection/>
    </xf>
    <xf numFmtId="49" fontId="7" fillId="0" borderId="21" xfId="49" applyNumberFormat="1" applyFont="1" applyFill="1" applyBorder="1" applyAlignment="1">
      <alignment horizontal="center"/>
      <protection/>
    </xf>
    <xf numFmtId="0" fontId="7" fillId="0" borderId="22" xfId="49" applyFont="1" applyFill="1" applyBorder="1" applyAlignment="1">
      <alignment vertical="top" wrapText="1"/>
      <protection/>
    </xf>
    <xf numFmtId="4" fontId="3" fillId="0" borderId="10" xfId="49" applyNumberFormat="1" applyFont="1" applyFill="1" applyBorder="1" applyAlignment="1">
      <alignment horizontal="center" wrapText="1"/>
      <protection/>
    </xf>
    <xf numFmtId="4" fontId="7" fillId="0" borderId="10" xfId="49" applyNumberFormat="1" applyFont="1" applyFill="1" applyBorder="1" applyAlignment="1">
      <alignment horizontal="center" vertical="center" wrapText="1"/>
      <protection/>
    </xf>
    <xf numFmtId="4" fontId="38" fillId="0" borderId="10" xfId="55" applyNumberFormat="1" applyFont="1" applyBorder="1">
      <alignment/>
      <protection/>
    </xf>
    <xf numFmtId="0" fontId="7" fillId="0" borderId="22" xfId="55" applyFont="1" applyFill="1" applyBorder="1" applyAlignment="1">
      <alignment vertical="top" wrapText="1"/>
      <protection/>
    </xf>
    <xf numFmtId="49" fontId="7" fillId="0" borderId="10" xfId="55" applyNumberFormat="1" applyFont="1" applyFill="1" applyBorder="1" applyAlignment="1">
      <alignment horizontal="center"/>
      <protection/>
    </xf>
    <xf numFmtId="4" fontId="7" fillId="0" borderId="19" xfId="49" applyNumberFormat="1" applyFont="1" applyFill="1" applyBorder="1" applyAlignment="1">
      <alignment horizontal="center"/>
      <protection/>
    </xf>
    <xf numFmtId="0" fontId="7" fillId="0" borderId="21" xfId="49" applyFont="1" applyFill="1" applyBorder="1" applyAlignment="1">
      <alignment vertical="top" wrapText="1"/>
      <protection/>
    </xf>
    <xf numFmtId="0" fontId="7" fillId="0" borderId="22" xfId="49" applyFont="1" applyFill="1" applyBorder="1" applyAlignment="1" quotePrefix="1">
      <alignment vertical="top" wrapText="1"/>
      <protection/>
    </xf>
    <xf numFmtId="0" fontId="7" fillId="0" borderId="10" xfId="49" applyNumberFormat="1" applyFont="1" applyFill="1" applyBorder="1" applyAlignment="1">
      <alignment horizontal="center"/>
      <protection/>
    </xf>
    <xf numFmtId="0" fontId="7" fillId="0" borderId="19" xfId="49" applyFont="1" applyFill="1" applyBorder="1" applyAlignment="1">
      <alignment horizontal="center" vertical="top" wrapText="1"/>
      <protection/>
    </xf>
    <xf numFmtId="198" fontId="7" fillId="0" borderId="10" xfId="49" applyNumberFormat="1" applyFont="1" applyFill="1" applyBorder="1" applyAlignment="1">
      <alignment horizontal="center"/>
      <protection/>
    </xf>
    <xf numFmtId="4" fontId="44" fillId="0" borderId="10" xfId="55" applyNumberFormat="1" applyFont="1" applyBorder="1">
      <alignment/>
      <protection/>
    </xf>
    <xf numFmtId="0" fontId="3" fillId="0" borderId="10" xfId="55" applyFont="1" applyFill="1" applyBorder="1" applyAlignment="1">
      <alignment vertical="top" wrapText="1"/>
      <protection/>
    </xf>
    <xf numFmtId="0" fontId="7" fillId="0" borderId="15" xfId="49" applyFont="1" applyFill="1" applyBorder="1" applyAlignment="1">
      <alignment wrapText="1"/>
      <protection/>
    </xf>
    <xf numFmtId="0" fontId="7" fillId="0" borderId="18" xfId="49" applyFont="1" applyFill="1" applyBorder="1" applyAlignment="1">
      <alignment wrapText="1"/>
      <protection/>
    </xf>
    <xf numFmtId="0" fontId="38" fillId="0" borderId="0" xfId="55">
      <alignment/>
      <protection/>
    </xf>
    <xf numFmtId="0" fontId="7" fillId="0" borderId="10" xfId="49" applyFont="1" applyFill="1" applyBorder="1" applyAlignment="1">
      <alignment horizontal="center" vertical="top" wrapText="1"/>
      <protection/>
    </xf>
    <xf numFmtId="0" fontId="7" fillId="0" borderId="22" xfId="49" applyFont="1" applyFill="1" applyBorder="1" applyAlignment="1">
      <alignment horizontal="center" vertical="top" wrapText="1"/>
      <protection/>
    </xf>
    <xf numFmtId="0" fontId="7" fillId="0" borderId="20" xfId="49" applyFont="1" applyFill="1" applyBorder="1" applyAlignment="1">
      <alignment horizontal="center" vertical="center" wrapText="1"/>
      <protection/>
    </xf>
    <xf numFmtId="0" fontId="7" fillId="0" borderId="16" xfId="49" applyFont="1" applyFill="1" applyBorder="1" applyAlignment="1">
      <alignment vertical="top" wrapText="1"/>
      <protection/>
    </xf>
    <xf numFmtId="0" fontId="7" fillId="0" borderId="16" xfId="54" applyFont="1" applyFill="1" applyBorder="1" applyAlignment="1">
      <alignment horizontal="center" wrapText="1"/>
      <protection/>
    </xf>
    <xf numFmtId="0" fontId="7" fillId="0" borderId="0" xfId="49" applyFont="1" applyFill="1" applyBorder="1" applyAlignment="1">
      <alignment vertical="top" wrapText="1"/>
      <protection/>
    </xf>
    <xf numFmtId="0" fontId="7" fillId="0" borderId="0" xfId="54" applyFont="1" applyFill="1" applyAlignment="1">
      <alignment horizont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6" fillId="0" borderId="0" xfId="54" applyFont="1" applyFill="1" applyAlignment="1">
      <alignment horizontal="center" wrapText="1"/>
      <protection/>
    </xf>
    <xf numFmtId="0" fontId="4" fillId="0" borderId="16" xfId="0" applyFont="1" applyFill="1" applyBorder="1" applyAlignment="1">
      <alignment horizontal="center" wrapText="1"/>
    </xf>
    <xf numFmtId="0" fontId="7" fillId="0" borderId="23" xfId="49" applyFont="1" applyFill="1" applyBorder="1" applyAlignment="1">
      <alignment horizontal="center" wrapText="1"/>
      <protection/>
    </xf>
    <xf numFmtId="0" fontId="7" fillId="0" borderId="0" xfId="49" applyFont="1" applyFill="1" applyBorder="1" applyAlignment="1">
      <alignment horizontal="center" wrapText="1"/>
      <protection/>
    </xf>
    <xf numFmtId="0" fontId="7" fillId="0" borderId="0" xfId="49" applyFont="1" applyFill="1" applyBorder="1" applyAlignment="1">
      <alignment horizontal="left" wrapText="1"/>
      <protection/>
    </xf>
    <xf numFmtId="0" fontId="7" fillId="0" borderId="24" xfId="49" applyFont="1" applyFill="1" applyBorder="1" applyAlignment="1">
      <alignment horizontal="center" wrapText="1"/>
      <protection/>
    </xf>
    <xf numFmtId="0" fontId="7" fillId="0" borderId="16" xfId="49" applyFont="1" applyFill="1" applyBorder="1" applyAlignment="1">
      <alignment horizontal="center" wrapText="1"/>
      <protection/>
    </xf>
    <xf numFmtId="49" fontId="7" fillId="0" borderId="22" xfId="49" applyNumberFormat="1" applyFont="1" applyFill="1" applyBorder="1" applyAlignment="1">
      <alignment horizontal="right"/>
      <protection/>
    </xf>
    <xf numFmtId="49" fontId="7" fillId="0" borderId="21" xfId="49" applyNumberFormat="1" applyFont="1" applyFill="1" applyBorder="1" applyAlignment="1">
      <alignment horizontal="right"/>
      <protection/>
    </xf>
    <xf numFmtId="49" fontId="7" fillId="0" borderId="20" xfId="49" applyNumberFormat="1" applyFont="1" applyFill="1" applyBorder="1" applyAlignment="1">
      <alignment horizontal="right"/>
      <protection/>
    </xf>
    <xf numFmtId="197" fontId="7" fillId="0" borderId="23" xfId="49" applyNumberFormat="1" applyFont="1" applyFill="1" applyBorder="1" applyAlignment="1">
      <alignment horizontal="center"/>
      <protection/>
    </xf>
    <xf numFmtId="197" fontId="7" fillId="0" borderId="0" xfId="49" applyNumberFormat="1" applyFont="1" applyFill="1" applyBorder="1" applyAlignment="1">
      <alignment horizontal="center"/>
      <protection/>
    </xf>
    <xf numFmtId="0" fontId="7" fillId="0" borderId="25" xfId="49" applyFont="1" applyFill="1" applyBorder="1" applyAlignment="1">
      <alignment horizontal="center" wrapText="1"/>
      <protection/>
    </xf>
    <xf numFmtId="0" fontId="7" fillId="0" borderId="19" xfId="49" applyFont="1" applyFill="1" applyBorder="1" applyAlignment="1">
      <alignment horizontal="center" wrapText="1"/>
      <protection/>
    </xf>
    <xf numFmtId="49" fontId="7" fillId="0" borderId="23" xfId="49" applyNumberFormat="1" applyFont="1" applyFill="1" applyBorder="1" applyAlignment="1">
      <alignment horizontal="center" vertical="top" wrapText="1"/>
      <protection/>
    </xf>
    <xf numFmtId="49" fontId="7" fillId="0" borderId="0" xfId="49" applyNumberFormat="1" applyFont="1" applyFill="1" applyBorder="1" applyAlignment="1">
      <alignment horizontal="center" vertical="top" wrapText="1"/>
      <protection/>
    </xf>
    <xf numFmtId="0" fontId="7" fillId="34" borderId="23" xfId="49" applyFont="1" applyFill="1" applyBorder="1" applyAlignment="1">
      <alignment horizontal="center" wrapText="1"/>
      <protection/>
    </xf>
    <xf numFmtId="0" fontId="7" fillId="34" borderId="0" xfId="49" applyFont="1" applyFill="1" applyBorder="1" applyAlignment="1">
      <alignment horizontal="center" wrapText="1"/>
      <protection/>
    </xf>
    <xf numFmtId="197" fontId="7" fillId="0" borderId="24" xfId="49" applyNumberFormat="1" applyFont="1" applyFill="1" applyBorder="1" applyAlignment="1">
      <alignment horizontal="center"/>
      <protection/>
    </xf>
    <xf numFmtId="197" fontId="7" fillId="0" borderId="16" xfId="49" applyNumberFormat="1" applyFont="1" applyFill="1" applyBorder="1" applyAlignment="1">
      <alignment horizontal="center"/>
      <protection/>
    </xf>
    <xf numFmtId="0" fontId="7" fillId="0" borderId="22" xfId="55" applyFont="1" applyFill="1" applyBorder="1" applyAlignment="1">
      <alignment horizontal="left" vertical="top" wrapText="1"/>
      <protection/>
    </xf>
    <xf numFmtId="0" fontId="7" fillId="0" borderId="20" xfId="55" applyFont="1" applyFill="1" applyBorder="1" applyAlignment="1">
      <alignment horizontal="left" vertical="top" wrapText="1"/>
      <protection/>
    </xf>
    <xf numFmtId="0" fontId="7" fillId="0" borderId="25" xfId="49" applyFont="1" applyFill="1" applyBorder="1" applyAlignment="1">
      <alignment horizontal="center" vertical="top" wrapText="1"/>
      <protection/>
    </xf>
    <xf numFmtId="0" fontId="7" fillId="0" borderId="19" xfId="49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center" wrapText="1"/>
      <protection/>
    </xf>
    <xf numFmtId="0" fontId="7" fillId="34" borderId="25" xfId="49" applyFont="1" applyFill="1" applyBorder="1" applyAlignment="1">
      <alignment horizontal="center" wrapText="1"/>
      <protection/>
    </xf>
    <xf numFmtId="0" fontId="7" fillId="34" borderId="19" xfId="49" applyFont="1" applyFill="1" applyBorder="1" applyAlignment="1">
      <alignment horizontal="center" wrapText="1"/>
      <protection/>
    </xf>
    <xf numFmtId="0" fontId="7" fillId="0" borderId="16" xfId="54" applyFont="1" applyFill="1" applyBorder="1" applyAlignment="1">
      <alignment horizont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22" xfId="49" applyFont="1" applyFill="1" applyBorder="1" applyAlignment="1">
      <alignment horizontal="right" wrapText="1"/>
      <protection/>
    </xf>
    <xf numFmtId="0" fontId="7" fillId="0" borderId="21" xfId="49" applyFont="1" applyFill="1" applyBorder="1" applyAlignment="1">
      <alignment horizontal="right" wrapText="1"/>
      <protection/>
    </xf>
    <xf numFmtId="0" fontId="7" fillId="0" borderId="20" xfId="49" applyFont="1" applyFill="1" applyBorder="1" applyAlignment="1">
      <alignment horizontal="right" wrapText="1"/>
      <protection/>
    </xf>
    <xf numFmtId="0" fontId="7" fillId="0" borderId="22" xfId="49" applyFont="1" applyFill="1" applyBorder="1" applyAlignment="1">
      <alignment horizontal="center" vertical="top" wrapText="1"/>
      <protection/>
    </xf>
    <xf numFmtId="0" fontId="7" fillId="0" borderId="20" xfId="49" applyFont="1" applyFill="1" applyBorder="1" applyAlignment="1">
      <alignment horizontal="center" vertical="top" wrapText="1"/>
      <protection/>
    </xf>
    <xf numFmtId="0" fontId="7" fillId="0" borderId="0" xfId="49" applyFont="1" applyFill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70.22.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view="pageBreakPreview" zoomScaleSheetLayoutView="100" zoomScalePageLayoutView="0" workbookViewId="0" topLeftCell="A43">
      <selection activeCell="F52" sqref="F52"/>
    </sheetView>
  </sheetViews>
  <sheetFormatPr defaultColWidth="9.140625" defaultRowHeight="12.75"/>
  <cols>
    <col min="1" max="1" width="54.00390625" style="1" customWidth="1"/>
    <col min="2" max="2" width="15.421875" style="2" customWidth="1"/>
    <col min="3" max="3" width="36.00390625" style="2" customWidth="1"/>
    <col min="4" max="4" width="16.00390625" style="2" customWidth="1"/>
    <col min="5" max="5" width="16.57421875" style="2" customWidth="1"/>
    <col min="6" max="6" width="29.140625" style="2" customWidth="1"/>
  </cols>
  <sheetData>
    <row r="1" spans="1:6" s="5" customFormat="1" ht="15.75">
      <c r="A1" s="6"/>
      <c r="B1" s="7"/>
      <c r="C1" s="7"/>
      <c r="D1" s="7"/>
      <c r="E1" s="7"/>
      <c r="F1" s="6" t="s">
        <v>0</v>
      </c>
    </row>
    <row r="2" spans="1:6" s="5" customFormat="1" ht="13.5" customHeight="1">
      <c r="A2" s="6"/>
      <c r="B2" s="7"/>
      <c r="C2" s="7"/>
      <c r="D2" s="7"/>
      <c r="E2" s="7"/>
      <c r="F2" s="6" t="s">
        <v>13</v>
      </c>
    </row>
    <row r="3" spans="1:6" s="5" customFormat="1" ht="15.75">
      <c r="A3" s="6"/>
      <c r="B3" s="7"/>
      <c r="C3" s="7"/>
      <c r="D3" s="7"/>
      <c r="E3" s="7"/>
      <c r="F3" s="6" t="s">
        <v>14</v>
      </c>
    </row>
    <row r="4" spans="1:6" s="5" customFormat="1" ht="31.5">
      <c r="A4" s="6"/>
      <c r="B4" s="7"/>
      <c r="C4" s="7"/>
      <c r="D4" s="7"/>
      <c r="E4" s="7"/>
      <c r="F4" s="6" t="s">
        <v>15</v>
      </c>
    </row>
    <row r="5" spans="1:6" s="5" customFormat="1" ht="15.75">
      <c r="A5" s="6"/>
      <c r="B5" s="7"/>
      <c r="C5" s="7"/>
      <c r="D5" s="7"/>
      <c r="E5" s="7"/>
      <c r="F5" s="8"/>
    </row>
    <row r="6" spans="1:6" s="5" customFormat="1" ht="18.75" customHeight="1">
      <c r="A6" s="88" t="s">
        <v>61</v>
      </c>
      <c r="B6" s="88"/>
      <c r="C6" s="88"/>
      <c r="D6" s="88"/>
      <c r="E6" s="88"/>
      <c r="F6" s="88"/>
    </row>
    <row r="7" spans="1:6" s="5" customFormat="1" ht="18.75">
      <c r="A7" s="89" t="s">
        <v>18</v>
      </c>
      <c r="B7" s="89"/>
      <c r="C7" s="89"/>
      <c r="D7" s="89"/>
      <c r="E7" s="89"/>
      <c r="F7" s="89"/>
    </row>
    <row r="8" spans="1:6" s="5" customFormat="1" ht="21" customHeight="1">
      <c r="A8" s="88" t="s">
        <v>9</v>
      </c>
      <c r="B8" s="88"/>
      <c r="C8" s="88"/>
      <c r="D8" s="88"/>
      <c r="E8" s="88"/>
      <c r="F8" s="88"/>
    </row>
    <row r="9" spans="1:6" s="5" customFormat="1" ht="21" customHeight="1">
      <c r="A9" s="90" t="s">
        <v>12</v>
      </c>
      <c r="B9" s="90"/>
      <c r="C9" s="90"/>
      <c r="D9" s="90"/>
      <c r="E9" s="90"/>
      <c r="F9" s="90"/>
    </row>
    <row r="10" spans="1:6" s="5" customFormat="1" ht="98.25" customHeight="1">
      <c r="A10" s="9" t="s">
        <v>1</v>
      </c>
      <c r="B10" s="9" t="s">
        <v>4</v>
      </c>
      <c r="C10" s="9" t="s">
        <v>16</v>
      </c>
      <c r="D10" s="9" t="s">
        <v>5</v>
      </c>
      <c r="E10" s="9" t="s">
        <v>6</v>
      </c>
      <c r="F10" s="9" t="s">
        <v>2</v>
      </c>
    </row>
    <row r="11" spans="1:6" s="5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s="5" customFormat="1" ht="47.25">
      <c r="A12" s="11" t="s">
        <v>41</v>
      </c>
      <c r="B12" s="12">
        <v>2220</v>
      </c>
      <c r="C12" s="13">
        <v>267385</v>
      </c>
      <c r="D12" s="14" t="s">
        <v>3</v>
      </c>
      <c r="E12" s="12" t="s">
        <v>43</v>
      </c>
      <c r="F12" s="14"/>
    </row>
    <row r="13" spans="1:6" s="5" customFormat="1" ht="31.5">
      <c r="A13" s="15"/>
      <c r="B13" s="16"/>
      <c r="C13" s="17" t="s">
        <v>54</v>
      </c>
      <c r="D13" s="18"/>
      <c r="E13" s="16"/>
      <c r="F13" s="18"/>
    </row>
    <row r="14" spans="1:6" s="5" customFormat="1" ht="31.5">
      <c r="A14" s="11" t="s">
        <v>42</v>
      </c>
      <c r="B14" s="12">
        <v>2220</v>
      </c>
      <c r="C14" s="13">
        <v>446013</v>
      </c>
      <c r="D14" s="14" t="s">
        <v>3</v>
      </c>
      <c r="E14" s="12" t="s">
        <v>43</v>
      </c>
      <c r="F14" s="14"/>
    </row>
    <row r="15" spans="1:6" s="5" customFormat="1" ht="31.5">
      <c r="A15" s="15"/>
      <c r="B15" s="16"/>
      <c r="C15" s="17" t="s">
        <v>60</v>
      </c>
      <c r="D15" s="18"/>
      <c r="E15" s="16"/>
      <c r="F15" s="18"/>
    </row>
    <row r="16" spans="1:6" s="5" customFormat="1" ht="31.5">
      <c r="A16" s="11" t="s">
        <v>30</v>
      </c>
      <c r="B16" s="12">
        <v>2230</v>
      </c>
      <c r="C16" s="13">
        <v>106999</v>
      </c>
      <c r="D16" s="14" t="s">
        <v>3</v>
      </c>
      <c r="E16" s="12" t="s">
        <v>23</v>
      </c>
      <c r="F16" s="14"/>
    </row>
    <row r="17" spans="1:6" s="5" customFormat="1" ht="31.5">
      <c r="A17" s="15"/>
      <c r="B17" s="16"/>
      <c r="C17" s="17" t="s">
        <v>51</v>
      </c>
      <c r="D17" s="18"/>
      <c r="E17" s="16"/>
      <c r="F17" s="18"/>
    </row>
    <row r="18" spans="1:6" s="5" customFormat="1" ht="47.25">
      <c r="A18" s="11" t="s">
        <v>29</v>
      </c>
      <c r="B18" s="12">
        <v>2230</v>
      </c>
      <c r="C18" s="13">
        <v>108927</v>
      </c>
      <c r="D18" s="14" t="s">
        <v>3</v>
      </c>
      <c r="E18" s="12" t="s">
        <v>23</v>
      </c>
      <c r="F18" s="14"/>
    </row>
    <row r="19" spans="1:6" s="5" customFormat="1" ht="31.5">
      <c r="A19" s="15"/>
      <c r="B19" s="16"/>
      <c r="C19" s="17" t="s">
        <v>53</v>
      </c>
      <c r="D19" s="18"/>
      <c r="E19" s="16"/>
      <c r="F19" s="18"/>
    </row>
    <row r="20" spans="1:6" s="5" customFormat="1" ht="31.5">
      <c r="A20" s="11" t="s">
        <v>34</v>
      </c>
      <c r="B20" s="12">
        <v>2230</v>
      </c>
      <c r="C20" s="13">
        <v>198000</v>
      </c>
      <c r="D20" s="14" t="s">
        <v>3</v>
      </c>
      <c r="E20" s="12" t="s">
        <v>23</v>
      </c>
      <c r="F20" s="14" t="s">
        <v>37</v>
      </c>
    </row>
    <row r="21" spans="1:6" s="5" customFormat="1" ht="32.25" thickBot="1">
      <c r="A21" s="15"/>
      <c r="B21" s="16"/>
      <c r="C21" s="17" t="s">
        <v>25</v>
      </c>
      <c r="D21" s="18"/>
      <c r="E21" s="16"/>
      <c r="F21" s="18"/>
    </row>
    <row r="22" spans="1:6" s="5" customFormat="1" ht="31.5">
      <c r="A22" s="11" t="s">
        <v>34</v>
      </c>
      <c r="B22" s="12">
        <v>2230</v>
      </c>
      <c r="C22" s="22">
        <v>80930</v>
      </c>
      <c r="D22" s="14" t="s">
        <v>3</v>
      </c>
      <c r="E22" s="12" t="s">
        <v>35</v>
      </c>
      <c r="F22" s="14"/>
    </row>
    <row r="23" spans="1:6" s="5" customFormat="1" ht="32.25" thickBot="1">
      <c r="A23" s="15"/>
      <c r="B23" s="16"/>
      <c r="C23" s="23" t="s">
        <v>56</v>
      </c>
      <c r="D23" s="18"/>
      <c r="E23" s="16"/>
      <c r="F23" s="18"/>
    </row>
    <row r="24" spans="1:6" s="5" customFormat="1" ht="47.25">
      <c r="A24" s="11" t="s">
        <v>28</v>
      </c>
      <c r="B24" s="12">
        <v>2230</v>
      </c>
      <c r="C24" s="13">
        <v>220000</v>
      </c>
      <c r="D24" s="14" t="s">
        <v>3</v>
      </c>
      <c r="E24" s="12" t="s">
        <v>23</v>
      </c>
      <c r="F24" s="14" t="s">
        <v>37</v>
      </c>
    </row>
    <row r="25" spans="1:6" s="5" customFormat="1" ht="15.75">
      <c r="A25" s="15"/>
      <c r="B25" s="16"/>
      <c r="C25" s="17" t="s">
        <v>26</v>
      </c>
      <c r="D25" s="18"/>
      <c r="E25" s="16"/>
      <c r="F25" s="18"/>
    </row>
    <row r="26" spans="1:6" s="5" customFormat="1" ht="47.25">
      <c r="A26" s="11" t="s">
        <v>28</v>
      </c>
      <c r="B26" s="12">
        <v>2230</v>
      </c>
      <c r="C26" s="13">
        <f>220000+59375-75000-30000</f>
        <v>174375</v>
      </c>
      <c r="D26" s="14" t="s">
        <v>3</v>
      </c>
      <c r="E26" s="12" t="s">
        <v>35</v>
      </c>
      <c r="F26" s="14"/>
    </row>
    <row r="27" spans="1:6" s="5" customFormat="1" ht="31.5">
      <c r="A27" s="15"/>
      <c r="B27" s="16"/>
      <c r="C27" s="17" t="s">
        <v>50</v>
      </c>
      <c r="D27" s="18"/>
      <c r="E27" s="16"/>
      <c r="F27" s="18"/>
    </row>
    <row r="28" spans="1:6" s="5" customFormat="1" ht="47.25">
      <c r="A28" s="11" t="s">
        <v>27</v>
      </c>
      <c r="B28" s="12">
        <v>2230</v>
      </c>
      <c r="C28" s="13">
        <v>141020</v>
      </c>
      <c r="D28" s="14" t="s">
        <v>3</v>
      </c>
      <c r="E28" s="12" t="s">
        <v>23</v>
      </c>
      <c r="F28" s="14" t="s">
        <v>37</v>
      </c>
    </row>
    <row r="29" spans="1:6" s="5" customFormat="1" ht="31.5">
      <c r="A29" s="15"/>
      <c r="B29" s="16"/>
      <c r="C29" s="17" t="s">
        <v>39</v>
      </c>
      <c r="D29" s="18"/>
      <c r="E29" s="16"/>
      <c r="F29" s="18"/>
    </row>
    <row r="30" spans="1:6" s="5" customFormat="1" ht="47.25">
      <c r="A30" s="11" t="s">
        <v>27</v>
      </c>
      <c r="B30" s="12">
        <v>2230</v>
      </c>
      <c r="C30" s="13">
        <v>141000</v>
      </c>
      <c r="D30" s="14" t="s">
        <v>3</v>
      </c>
      <c r="E30" s="12" t="s">
        <v>35</v>
      </c>
      <c r="F30" s="14" t="s">
        <v>37</v>
      </c>
    </row>
    <row r="31" spans="1:6" s="5" customFormat="1" ht="15.75">
      <c r="A31" s="15"/>
      <c r="B31" s="16"/>
      <c r="C31" s="17" t="s">
        <v>36</v>
      </c>
      <c r="D31" s="18"/>
      <c r="E31" s="16"/>
      <c r="F31" s="18"/>
    </row>
    <row r="32" spans="1:6" s="5" customFormat="1" ht="47.25">
      <c r="A32" s="11" t="s">
        <v>27</v>
      </c>
      <c r="B32" s="12">
        <v>2230</v>
      </c>
      <c r="C32" s="13">
        <v>102764</v>
      </c>
      <c r="D32" s="14" t="s">
        <v>10</v>
      </c>
      <c r="E32" s="12" t="s">
        <v>40</v>
      </c>
      <c r="F32" s="14"/>
    </row>
    <row r="33" spans="1:6" s="5" customFormat="1" ht="31.5">
      <c r="A33" s="15"/>
      <c r="B33" s="16"/>
      <c r="C33" s="17" t="s">
        <v>55</v>
      </c>
      <c r="D33" s="18"/>
      <c r="E33" s="16"/>
      <c r="F33" s="18"/>
    </row>
    <row r="34" spans="1:6" s="5" customFormat="1" ht="63">
      <c r="A34" s="11" t="s">
        <v>31</v>
      </c>
      <c r="B34" s="12">
        <v>2240</v>
      </c>
      <c r="C34" s="13">
        <v>270000</v>
      </c>
      <c r="D34" s="14" t="s">
        <v>3</v>
      </c>
      <c r="E34" s="12" t="s">
        <v>21</v>
      </c>
      <c r="F34" s="14" t="s">
        <v>37</v>
      </c>
    </row>
    <row r="35" spans="1:6" s="5" customFormat="1" ht="15.75">
      <c r="A35" s="15"/>
      <c r="B35" s="16"/>
      <c r="C35" s="17" t="s">
        <v>38</v>
      </c>
      <c r="D35" s="18"/>
      <c r="E35" s="16"/>
      <c r="F35" s="18"/>
    </row>
    <row r="36" spans="1:6" s="5" customFormat="1" ht="63">
      <c r="A36" s="11" t="s">
        <v>31</v>
      </c>
      <c r="B36" s="12">
        <v>2240</v>
      </c>
      <c r="C36" s="13">
        <f>200000-37500</f>
        <v>162500</v>
      </c>
      <c r="D36" s="14" t="s">
        <v>3</v>
      </c>
      <c r="E36" s="12" t="s">
        <v>35</v>
      </c>
      <c r="F36" s="14"/>
    </row>
    <row r="37" spans="1:6" s="5" customFormat="1" ht="31.5">
      <c r="A37" s="15"/>
      <c r="B37" s="16"/>
      <c r="C37" s="17" t="s">
        <v>44</v>
      </c>
      <c r="D37" s="18"/>
      <c r="E37" s="16"/>
      <c r="F37" s="18"/>
    </row>
    <row r="38" spans="1:6" s="5" customFormat="1" ht="47.25">
      <c r="A38" s="11" t="s">
        <v>33</v>
      </c>
      <c r="B38" s="12">
        <v>2273</v>
      </c>
      <c r="C38" s="13">
        <v>1845000</v>
      </c>
      <c r="D38" s="14" t="s">
        <v>10</v>
      </c>
      <c r="E38" s="12" t="s">
        <v>23</v>
      </c>
      <c r="F38" s="14" t="s">
        <v>24</v>
      </c>
    </row>
    <row r="39" spans="1:6" s="5" customFormat="1" ht="31.5">
      <c r="A39" s="15"/>
      <c r="B39" s="16"/>
      <c r="C39" s="17" t="s">
        <v>57</v>
      </c>
      <c r="D39" s="18"/>
      <c r="E39" s="16"/>
      <c r="F39" s="18"/>
    </row>
    <row r="40" spans="1:6" s="19" customFormat="1" ht="63">
      <c r="A40" s="11" t="s">
        <v>32</v>
      </c>
      <c r="B40" s="12">
        <v>2274</v>
      </c>
      <c r="C40" s="13">
        <v>1396577</v>
      </c>
      <c r="D40" s="14" t="s">
        <v>10</v>
      </c>
      <c r="E40" s="12" t="s">
        <v>22</v>
      </c>
      <c r="F40" s="14" t="s">
        <v>17</v>
      </c>
    </row>
    <row r="41" spans="1:6" s="5" customFormat="1" ht="47.25">
      <c r="A41" s="15"/>
      <c r="B41" s="16"/>
      <c r="C41" s="17" t="s">
        <v>47</v>
      </c>
      <c r="D41" s="18"/>
      <c r="E41" s="16"/>
      <c r="F41" s="18"/>
    </row>
    <row r="42" spans="1:6" s="19" customFormat="1" ht="63">
      <c r="A42" s="11" t="s">
        <v>32</v>
      </c>
      <c r="B42" s="12">
        <v>2274</v>
      </c>
      <c r="C42" s="13">
        <v>128939</v>
      </c>
      <c r="D42" s="14" t="s">
        <v>10</v>
      </c>
      <c r="E42" s="12" t="s">
        <v>35</v>
      </c>
      <c r="F42" s="14" t="s">
        <v>17</v>
      </c>
    </row>
    <row r="43" spans="1:6" s="5" customFormat="1" ht="31.5">
      <c r="A43" s="15"/>
      <c r="B43" s="16"/>
      <c r="C43" s="17" t="s">
        <v>59</v>
      </c>
      <c r="D43" s="18"/>
      <c r="E43" s="16"/>
      <c r="F43" s="18"/>
    </row>
    <row r="44" spans="1:6" s="19" customFormat="1" ht="47.25">
      <c r="A44" s="11" t="s">
        <v>32</v>
      </c>
      <c r="B44" s="12">
        <v>2274</v>
      </c>
      <c r="C44" s="13">
        <v>1421485</v>
      </c>
      <c r="D44" s="14" t="s">
        <v>10</v>
      </c>
      <c r="E44" s="12" t="s">
        <v>45</v>
      </c>
      <c r="F44" s="14" t="s">
        <v>46</v>
      </c>
    </row>
    <row r="45" spans="1:6" s="5" customFormat="1" ht="47.25">
      <c r="A45" s="15"/>
      <c r="B45" s="16"/>
      <c r="C45" s="17" t="s">
        <v>58</v>
      </c>
      <c r="D45" s="18"/>
      <c r="E45" s="16"/>
      <c r="F45" s="18"/>
    </row>
    <row r="46" spans="1:6" s="19" customFormat="1" ht="31.5">
      <c r="A46" s="11" t="s">
        <v>48</v>
      </c>
      <c r="B46" s="12">
        <v>3110</v>
      </c>
      <c r="C46" s="13">
        <v>1976177</v>
      </c>
      <c r="D46" s="14" t="s">
        <v>3</v>
      </c>
      <c r="E46" s="12" t="s">
        <v>49</v>
      </c>
      <c r="F46" s="14"/>
    </row>
    <row r="47" spans="1:6" s="5" customFormat="1" ht="47.25">
      <c r="A47" s="15"/>
      <c r="B47" s="16"/>
      <c r="C47" s="17" t="s">
        <v>52</v>
      </c>
      <c r="D47" s="18"/>
      <c r="E47" s="16"/>
      <c r="F47" s="18"/>
    </row>
    <row r="48" spans="1:6" s="5" customFormat="1" ht="19.5" customHeight="1">
      <c r="A48" s="87"/>
      <c r="B48" s="87"/>
      <c r="C48" s="3"/>
      <c r="D48" s="3"/>
      <c r="E48" s="4"/>
      <c r="F48" s="4"/>
    </row>
    <row r="49" spans="1:6" s="5" customFormat="1" ht="15.75">
      <c r="A49" s="21" t="s">
        <v>19</v>
      </c>
      <c r="B49" s="3"/>
      <c r="E49" s="20" t="s">
        <v>20</v>
      </c>
      <c r="F49" s="4"/>
    </row>
    <row r="50" spans="1:6" s="5" customFormat="1" ht="15.75">
      <c r="A50" s="87" t="s">
        <v>7</v>
      </c>
      <c r="B50" s="87"/>
      <c r="C50" s="87"/>
      <c r="D50" s="4"/>
      <c r="E50" s="4"/>
      <c r="F50" s="4"/>
    </row>
    <row r="51" spans="1:6" s="5" customFormat="1" ht="15.75">
      <c r="A51" s="21" t="s">
        <v>8</v>
      </c>
      <c r="B51" s="3"/>
      <c r="E51" s="20" t="s">
        <v>11</v>
      </c>
      <c r="F51" s="4"/>
    </row>
    <row r="52" ht="12.75">
      <c r="F52" s="24"/>
    </row>
  </sheetData>
  <sheetProtection/>
  <mergeCells count="6">
    <mergeCell ref="A48:B48"/>
    <mergeCell ref="A6:F6"/>
    <mergeCell ref="A7:F7"/>
    <mergeCell ref="A8:F8"/>
    <mergeCell ref="A9:F9"/>
    <mergeCell ref="A50:C50"/>
  </mergeCells>
  <printOptions/>
  <pageMargins left="0.6692913385826772" right="0.1968503937007874" top="0.1968503937007874" bottom="0.1968503937007874" header="0.1968503937007874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50"/>
  <sheetViews>
    <sheetView tabSelected="1" view="pageBreakPreview" zoomScale="80" zoomScaleSheetLayoutView="80" zoomScalePageLayoutView="30" workbookViewId="0" topLeftCell="A340">
      <selection activeCell="C363" sqref="C363"/>
    </sheetView>
  </sheetViews>
  <sheetFormatPr defaultColWidth="9.140625" defaultRowHeight="12.75"/>
  <cols>
    <col min="1" max="1" width="48.57421875" style="26" customWidth="1"/>
    <col min="2" max="2" width="16.57421875" style="26" customWidth="1"/>
    <col min="3" max="3" width="21.8515625" style="25" customWidth="1"/>
    <col min="4" max="4" width="17.28125" style="25" bestFit="1" customWidth="1"/>
    <col min="5" max="5" width="13.8515625" style="25" customWidth="1"/>
    <col min="6" max="6" width="15.140625" style="25" customWidth="1"/>
    <col min="7" max="7" width="15.57421875" style="25" customWidth="1"/>
    <col min="8" max="16384" width="9.140625" style="25" customWidth="1"/>
  </cols>
  <sheetData>
    <row r="1" spans="1:6" s="79" customFormat="1" ht="18.75" customHeight="1">
      <c r="A1" s="113" t="s">
        <v>526</v>
      </c>
      <c r="B1" s="113"/>
      <c r="C1" s="113"/>
      <c r="D1" s="86"/>
      <c r="E1" s="49"/>
      <c r="F1" s="49"/>
    </row>
    <row r="2" spans="1:6" s="79" customFormat="1" ht="18.75">
      <c r="A2" s="113" t="s">
        <v>18</v>
      </c>
      <c r="B2" s="113"/>
      <c r="C2" s="113"/>
      <c r="D2" s="86"/>
      <c r="E2" s="49"/>
      <c r="F2" s="49"/>
    </row>
    <row r="3" spans="1:7" s="79" customFormat="1" ht="35.25" customHeight="1">
      <c r="A3" s="113" t="s">
        <v>9</v>
      </c>
      <c r="B3" s="113"/>
      <c r="C3" s="113"/>
      <c r="D3" s="86"/>
      <c r="E3" s="85"/>
      <c r="F3" s="85"/>
      <c r="G3" s="85"/>
    </row>
    <row r="4" spans="1:6" s="79" customFormat="1" ht="18.75">
      <c r="A4" s="116" t="s">
        <v>12</v>
      </c>
      <c r="B4" s="116"/>
      <c r="C4" s="116"/>
      <c r="D4" s="84"/>
      <c r="E4" s="83"/>
      <c r="F4" s="83"/>
    </row>
    <row r="5" spans="1:7" s="79" customFormat="1" ht="98.25" customHeight="1">
      <c r="A5" s="117" t="s">
        <v>1</v>
      </c>
      <c r="B5" s="117"/>
      <c r="C5" s="36" t="s">
        <v>525</v>
      </c>
      <c r="D5" s="82" t="s">
        <v>16</v>
      </c>
      <c r="E5" s="36" t="s">
        <v>5</v>
      </c>
      <c r="F5" s="36" t="s">
        <v>6</v>
      </c>
      <c r="G5" s="36" t="s">
        <v>2</v>
      </c>
    </row>
    <row r="6" spans="1:7" s="79" customFormat="1" ht="18.75">
      <c r="A6" s="121">
        <v>1</v>
      </c>
      <c r="B6" s="122"/>
      <c r="C6" s="80">
        <v>2</v>
      </c>
      <c r="D6" s="81">
        <v>3</v>
      </c>
      <c r="E6" s="80">
        <v>4</v>
      </c>
      <c r="F6" s="80">
        <v>5</v>
      </c>
      <c r="G6" s="80">
        <v>6</v>
      </c>
    </row>
    <row r="7" spans="1:7" s="27" customFormat="1" ht="18.75">
      <c r="A7" s="101" t="s">
        <v>166</v>
      </c>
      <c r="B7" s="102"/>
      <c r="C7" s="102"/>
      <c r="D7" s="53"/>
      <c r="E7" s="53"/>
      <c r="F7" s="53"/>
      <c r="G7" s="78"/>
    </row>
    <row r="8" spans="1:7" s="27" customFormat="1" ht="18.75" customHeight="1" hidden="1">
      <c r="A8" s="103" t="s">
        <v>524</v>
      </c>
      <c r="B8" s="104"/>
      <c r="C8" s="104"/>
      <c r="D8" s="57"/>
      <c r="E8" s="57"/>
      <c r="G8" s="56"/>
    </row>
    <row r="9" spans="1:7" s="27" customFormat="1" ht="18.75" customHeight="1" hidden="1">
      <c r="A9" s="103" t="s">
        <v>523</v>
      </c>
      <c r="B9" s="104"/>
      <c r="C9" s="104"/>
      <c r="D9" s="57"/>
      <c r="E9" s="57"/>
      <c r="G9" s="56"/>
    </row>
    <row r="10" spans="1:7" s="27" customFormat="1" ht="18.75" customHeight="1" hidden="1">
      <c r="A10" s="103" t="s">
        <v>522</v>
      </c>
      <c r="B10" s="104"/>
      <c r="C10" s="104"/>
      <c r="D10" s="57"/>
      <c r="E10" s="57"/>
      <c r="G10" s="56"/>
    </row>
    <row r="11" spans="1:7" s="27" customFormat="1" ht="18.75">
      <c r="A11" s="94" t="s">
        <v>521</v>
      </c>
      <c r="B11" s="95"/>
      <c r="C11" s="95"/>
      <c r="D11" s="43"/>
      <c r="E11" s="43"/>
      <c r="F11" s="43"/>
      <c r="G11" s="77"/>
    </row>
    <row r="12" spans="1:7" ht="37.5">
      <c r="A12" s="39" t="s">
        <v>520</v>
      </c>
      <c r="B12" s="38" t="s">
        <v>519</v>
      </c>
      <c r="C12" s="38" t="s">
        <v>112</v>
      </c>
      <c r="D12" s="37">
        <f>500+2236</f>
        <v>2736</v>
      </c>
      <c r="E12" s="35"/>
      <c r="F12" s="36"/>
      <c r="G12" s="35"/>
    </row>
    <row r="13" spans="1:7" ht="37.5">
      <c r="A13" s="39" t="s">
        <v>518</v>
      </c>
      <c r="B13" s="38" t="s">
        <v>517</v>
      </c>
      <c r="C13" s="38" t="s">
        <v>112</v>
      </c>
      <c r="D13" s="37">
        <v>72</v>
      </c>
      <c r="E13" s="35"/>
      <c r="F13" s="36"/>
      <c r="G13" s="35"/>
    </row>
    <row r="14" spans="1:7" ht="94.5">
      <c r="A14" s="39" t="s">
        <v>516</v>
      </c>
      <c r="B14" s="38" t="s">
        <v>515</v>
      </c>
      <c r="C14" s="38" t="s">
        <v>112</v>
      </c>
      <c r="D14" s="37">
        <v>163752</v>
      </c>
      <c r="E14" s="35"/>
      <c r="F14" s="36"/>
      <c r="G14" s="76" t="s">
        <v>514</v>
      </c>
    </row>
    <row r="15" spans="1:7" ht="94.5">
      <c r="A15" s="39" t="s">
        <v>513</v>
      </c>
      <c r="B15" s="38" t="s">
        <v>512</v>
      </c>
      <c r="C15" s="38" t="s">
        <v>112</v>
      </c>
      <c r="D15" s="37">
        <v>19457</v>
      </c>
      <c r="E15" s="35"/>
      <c r="F15" s="36"/>
      <c r="G15" s="76" t="s">
        <v>511</v>
      </c>
    </row>
    <row r="16" spans="1:7" ht="37.5">
      <c r="A16" s="39" t="s">
        <v>510</v>
      </c>
      <c r="B16" s="38" t="s">
        <v>509</v>
      </c>
      <c r="C16" s="38" t="s">
        <v>112</v>
      </c>
      <c r="D16" s="37">
        <v>3547</v>
      </c>
      <c r="E16" s="35"/>
      <c r="F16" s="36"/>
      <c r="G16" s="35"/>
    </row>
    <row r="17" spans="1:7" ht="131.25">
      <c r="A17" s="39" t="s">
        <v>164</v>
      </c>
      <c r="B17" s="38" t="s">
        <v>163</v>
      </c>
      <c r="C17" s="38" t="s">
        <v>112</v>
      </c>
      <c r="D17" s="37">
        <v>1770</v>
      </c>
      <c r="E17" s="35"/>
      <c r="F17" s="36"/>
      <c r="G17" s="35"/>
    </row>
    <row r="18" spans="1:7" ht="18.75">
      <c r="A18" s="39" t="s">
        <v>508</v>
      </c>
      <c r="B18" s="38" t="s">
        <v>507</v>
      </c>
      <c r="C18" s="38" t="s">
        <v>112</v>
      </c>
      <c r="D18" s="37">
        <v>74755</v>
      </c>
      <c r="E18" s="35"/>
      <c r="F18" s="36"/>
      <c r="G18" s="35"/>
    </row>
    <row r="19" spans="1:7" ht="93.75">
      <c r="A19" s="39" t="s">
        <v>506</v>
      </c>
      <c r="B19" s="38" t="s">
        <v>505</v>
      </c>
      <c r="C19" s="38" t="s">
        <v>112</v>
      </c>
      <c r="D19" s="37">
        <v>60</v>
      </c>
      <c r="E19" s="35"/>
      <c r="F19" s="36"/>
      <c r="G19" s="35"/>
    </row>
    <row r="20" spans="1:7" ht="93.75">
      <c r="A20" s="39" t="s">
        <v>504</v>
      </c>
      <c r="B20" s="38" t="s">
        <v>503</v>
      </c>
      <c r="C20" s="38" t="s">
        <v>112</v>
      </c>
      <c r="D20" s="37">
        <v>132</v>
      </c>
      <c r="E20" s="35"/>
      <c r="F20" s="36"/>
      <c r="G20" s="35"/>
    </row>
    <row r="21" spans="1:7" ht="75">
      <c r="A21" s="39" t="s">
        <v>385</v>
      </c>
      <c r="B21" s="38" t="s">
        <v>384</v>
      </c>
      <c r="C21" s="38" t="s">
        <v>112</v>
      </c>
      <c r="D21" s="37">
        <v>60</v>
      </c>
      <c r="E21" s="35"/>
      <c r="F21" s="36"/>
      <c r="G21" s="35"/>
    </row>
    <row r="22" spans="1:7" ht="18.75">
      <c r="A22" s="39" t="s">
        <v>160</v>
      </c>
      <c r="B22" s="38" t="s">
        <v>159</v>
      </c>
      <c r="C22" s="38" t="s">
        <v>112</v>
      </c>
      <c r="D22" s="37">
        <v>150277</v>
      </c>
      <c r="E22" s="35"/>
      <c r="F22" s="36"/>
      <c r="G22" s="35"/>
    </row>
    <row r="23" spans="1:7" ht="18.75">
      <c r="A23" s="39" t="s">
        <v>158</v>
      </c>
      <c r="B23" s="38" t="s">
        <v>157</v>
      </c>
      <c r="C23" s="38" t="s">
        <v>112</v>
      </c>
      <c r="D23" s="37">
        <v>103825</v>
      </c>
      <c r="E23" s="35"/>
      <c r="F23" s="36"/>
      <c r="G23" s="35"/>
    </row>
    <row r="24" spans="1:7" ht="18.75">
      <c r="A24" s="39" t="s">
        <v>502</v>
      </c>
      <c r="B24" s="38" t="s">
        <v>501</v>
      </c>
      <c r="C24" s="38" t="s">
        <v>112</v>
      </c>
      <c r="D24" s="37">
        <v>290</v>
      </c>
      <c r="E24" s="35"/>
      <c r="F24" s="36"/>
      <c r="G24" s="35"/>
    </row>
    <row r="25" spans="1:7" ht="56.25">
      <c r="A25" s="39" t="s">
        <v>367</v>
      </c>
      <c r="B25" s="38" t="s">
        <v>366</v>
      </c>
      <c r="C25" s="38" t="s">
        <v>112</v>
      </c>
      <c r="D25" s="37">
        <v>70</v>
      </c>
      <c r="E25" s="35"/>
      <c r="F25" s="36"/>
      <c r="G25" s="35"/>
    </row>
    <row r="26" spans="1:7" ht="37.5">
      <c r="A26" s="39" t="s">
        <v>500</v>
      </c>
      <c r="B26" s="38" t="s">
        <v>499</v>
      </c>
      <c r="C26" s="38" t="s">
        <v>112</v>
      </c>
      <c r="D26" s="37">
        <v>65</v>
      </c>
      <c r="E26" s="35"/>
      <c r="F26" s="36"/>
      <c r="G26" s="35"/>
    </row>
    <row r="27" spans="1:7" ht="37.5">
      <c r="A27" s="39" t="s">
        <v>498</v>
      </c>
      <c r="B27" s="38" t="s">
        <v>497</v>
      </c>
      <c r="C27" s="38" t="s">
        <v>112</v>
      </c>
      <c r="D27" s="37">
        <v>48</v>
      </c>
      <c r="E27" s="35"/>
      <c r="F27" s="36"/>
      <c r="G27" s="35"/>
    </row>
    <row r="28" spans="1:7" ht="18.75">
      <c r="A28" s="39" t="s">
        <v>496</v>
      </c>
      <c r="B28" s="38" t="s">
        <v>495</v>
      </c>
      <c r="C28" s="38" t="s">
        <v>112</v>
      </c>
      <c r="D28" s="37">
        <v>2949</v>
      </c>
      <c r="E28" s="35"/>
      <c r="F28" s="36"/>
      <c r="G28" s="35"/>
    </row>
    <row r="29" spans="1:7" ht="56.25">
      <c r="A29" s="39" t="s">
        <v>197</v>
      </c>
      <c r="B29" s="38" t="s">
        <v>196</v>
      </c>
      <c r="C29" s="38" t="s">
        <v>112</v>
      </c>
      <c r="D29" s="37">
        <v>5273</v>
      </c>
      <c r="E29" s="35"/>
      <c r="F29" s="36"/>
      <c r="G29" s="35"/>
    </row>
    <row r="30" spans="1:7" ht="37.5">
      <c r="A30" s="39" t="s">
        <v>156</v>
      </c>
      <c r="B30" s="38" t="s">
        <v>155</v>
      </c>
      <c r="C30" s="38" t="s">
        <v>112</v>
      </c>
      <c r="D30" s="37">
        <v>53997</v>
      </c>
      <c r="E30" s="35"/>
      <c r="F30" s="36"/>
      <c r="G30" s="35"/>
    </row>
    <row r="31" spans="1:7" ht="18.75">
      <c r="A31" s="39" t="s">
        <v>154</v>
      </c>
      <c r="B31" s="38" t="s">
        <v>153</v>
      </c>
      <c r="C31" s="38" t="s">
        <v>112</v>
      </c>
      <c r="D31" s="37">
        <v>2821</v>
      </c>
      <c r="E31" s="35"/>
      <c r="F31" s="36"/>
      <c r="G31" s="35"/>
    </row>
    <row r="32" spans="1:7" ht="37.5">
      <c r="A32" s="39" t="s">
        <v>494</v>
      </c>
      <c r="B32" s="38" t="s">
        <v>493</v>
      </c>
      <c r="C32" s="38" t="s">
        <v>112</v>
      </c>
      <c r="D32" s="37">
        <f>145+614+415</f>
        <v>1174</v>
      </c>
      <c r="E32" s="35"/>
      <c r="F32" s="36"/>
      <c r="G32" s="35"/>
    </row>
    <row r="33" spans="1:7" ht="18.75">
      <c r="A33" s="39" t="s">
        <v>341</v>
      </c>
      <c r="B33" s="38" t="s">
        <v>340</v>
      </c>
      <c r="C33" s="38" t="s">
        <v>112</v>
      </c>
      <c r="D33" s="37">
        <v>240</v>
      </c>
      <c r="E33" s="35"/>
      <c r="F33" s="36"/>
      <c r="G33" s="35"/>
    </row>
    <row r="34" spans="1:7" ht="18.75">
      <c r="A34" s="39" t="s">
        <v>492</v>
      </c>
      <c r="B34" s="38" t="s">
        <v>491</v>
      </c>
      <c r="C34" s="38" t="s">
        <v>112</v>
      </c>
      <c r="D34" s="37">
        <v>17360</v>
      </c>
      <c r="E34" s="35"/>
      <c r="F34" s="36"/>
      <c r="G34" s="35"/>
    </row>
    <row r="35" spans="1:7" ht="56.25">
      <c r="A35" s="39" t="s">
        <v>490</v>
      </c>
      <c r="B35" s="38" t="s">
        <v>489</v>
      </c>
      <c r="C35" s="38" t="s">
        <v>112</v>
      </c>
      <c r="D35" s="37">
        <v>2350</v>
      </c>
      <c r="E35" s="35"/>
      <c r="F35" s="36"/>
      <c r="G35" s="35"/>
    </row>
    <row r="36" spans="1:7" ht="56.25">
      <c r="A36" s="39" t="s">
        <v>488</v>
      </c>
      <c r="B36" s="38" t="s">
        <v>487</v>
      </c>
      <c r="C36" s="38" t="s">
        <v>112</v>
      </c>
      <c r="D36" s="37">
        <v>2458</v>
      </c>
      <c r="E36" s="35"/>
      <c r="F36" s="36"/>
      <c r="G36" s="35"/>
    </row>
    <row r="37" spans="1:7" ht="37.5">
      <c r="A37" s="39" t="s">
        <v>152</v>
      </c>
      <c r="B37" s="38" t="s">
        <v>151</v>
      </c>
      <c r="C37" s="38" t="s">
        <v>112</v>
      </c>
      <c r="D37" s="37">
        <v>1715</v>
      </c>
      <c r="E37" s="35"/>
      <c r="F37" s="36"/>
      <c r="G37" s="35"/>
    </row>
    <row r="38" spans="1:7" ht="37.5">
      <c r="A38" s="39" t="s">
        <v>486</v>
      </c>
      <c r="B38" s="38" t="s">
        <v>485</v>
      </c>
      <c r="C38" s="38" t="s">
        <v>112</v>
      </c>
      <c r="D38" s="37">
        <f>500+152</f>
        <v>652</v>
      </c>
      <c r="E38" s="35"/>
      <c r="F38" s="36"/>
      <c r="G38" s="35"/>
    </row>
    <row r="39" spans="1:7" ht="18.75">
      <c r="A39" s="39" t="s">
        <v>88</v>
      </c>
      <c r="B39" s="38" t="s">
        <v>87</v>
      </c>
      <c r="C39" s="38" t="s">
        <v>112</v>
      </c>
      <c r="D39" s="37">
        <v>25509</v>
      </c>
      <c r="E39" s="35"/>
      <c r="F39" s="36"/>
      <c r="G39" s="35"/>
    </row>
    <row r="40" spans="1:7" ht="56.25">
      <c r="A40" s="39" t="s">
        <v>484</v>
      </c>
      <c r="B40" s="38" t="s">
        <v>483</v>
      </c>
      <c r="C40" s="38" t="s">
        <v>112</v>
      </c>
      <c r="D40" s="37">
        <v>3308</v>
      </c>
      <c r="E40" s="35"/>
      <c r="F40" s="36"/>
      <c r="G40" s="35"/>
    </row>
    <row r="41" spans="1:7" ht="18.75">
      <c r="A41" s="39" t="s">
        <v>150</v>
      </c>
      <c r="B41" s="38" t="s">
        <v>149</v>
      </c>
      <c r="C41" s="38" t="s">
        <v>112</v>
      </c>
      <c r="D41" s="37">
        <v>27151</v>
      </c>
      <c r="E41" s="35"/>
      <c r="F41" s="36"/>
      <c r="G41" s="35"/>
    </row>
    <row r="42" spans="1:7" ht="18.75">
      <c r="A42" s="39" t="s">
        <v>482</v>
      </c>
      <c r="B42" s="38" t="s">
        <v>481</v>
      </c>
      <c r="C42" s="38" t="s">
        <v>112</v>
      </c>
      <c r="D42" s="37">
        <f>180+59</f>
        <v>239</v>
      </c>
      <c r="E42" s="35"/>
      <c r="F42" s="36"/>
      <c r="G42" s="35"/>
    </row>
    <row r="43" spans="1:7" ht="18.75">
      <c r="A43" s="39" t="s">
        <v>480</v>
      </c>
      <c r="B43" s="38" t="s">
        <v>479</v>
      </c>
      <c r="C43" s="38" t="s">
        <v>112</v>
      </c>
      <c r="D43" s="37">
        <v>4943</v>
      </c>
      <c r="E43" s="35"/>
      <c r="F43" s="36"/>
      <c r="G43" s="35"/>
    </row>
    <row r="44" spans="1:7" ht="18.75">
      <c r="A44" s="39" t="s">
        <v>478</v>
      </c>
      <c r="B44" s="38" t="s">
        <v>477</v>
      </c>
      <c r="C44" s="38" t="s">
        <v>112</v>
      </c>
      <c r="D44" s="37">
        <v>369</v>
      </c>
      <c r="E44" s="35"/>
      <c r="F44" s="36"/>
      <c r="G44" s="35"/>
    </row>
    <row r="45" spans="1:7" ht="37.5">
      <c r="A45" s="39" t="s">
        <v>476</v>
      </c>
      <c r="B45" s="38" t="s">
        <v>475</v>
      </c>
      <c r="C45" s="38" t="s">
        <v>112</v>
      </c>
      <c r="D45" s="37">
        <v>576</v>
      </c>
      <c r="E45" s="35"/>
      <c r="F45" s="36"/>
      <c r="G45" s="35"/>
    </row>
    <row r="46" spans="1:7" ht="18.75">
      <c r="A46" s="39" t="s">
        <v>474</v>
      </c>
      <c r="B46" s="38" t="s">
        <v>473</v>
      </c>
      <c r="C46" s="38" t="s">
        <v>112</v>
      </c>
      <c r="D46" s="37">
        <f>552+1518+158</f>
        <v>2228</v>
      </c>
      <c r="E46" s="35"/>
      <c r="F46" s="36"/>
      <c r="G46" s="35"/>
    </row>
    <row r="47" spans="1:7" ht="37.5">
      <c r="A47" s="39" t="s">
        <v>472</v>
      </c>
      <c r="B47" s="38" t="s">
        <v>471</v>
      </c>
      <c r="C47" s="38" t="s">
        <v>112</v>
      </c>
      <c r="D47" s="37">
        <v>900</v>
      </c>
      <c r="E47" s="35"/>
      <c r="F47" s="36"/>
      <c r="G47" s="35"/>
    </row>
    <row r="48" spans="1:7" ht="18.75">
      <c r="A48" s="39" t="s">
        <v>470</v>
      </c>
      <c r="B48" s="38" t="s">
        <v>469</v>
      </c>
      <c r="C48" s="38" t="s">
        <v>112</v>
      </c>
      <c r="D48" s="37">
        <v>1533</v>
      </c>
      <c r="E48" s="35"/>
      <c r="F48" s="36"/>
      <c r="G48" s="35"/>
    </row>
    <row r="49" spans="1:7" ht="37.5">
      <c r="A49" s="39" t="s">
        <v>468</v>
      </c>
      <c r="B49" s="38" t="s">
        <v>467</v>
      </c>
      <c r="C49" s="38" t="s">
        <v>112</v>
      </c>
      <c r="D49" s="37">
        <f>530+175+218+6630+218</f>
        <v>7771</v>
      </c>
      <c r="E49" s="35"/>
      <c r="F49" s="36"/>
      <c r="G49" s="35"/>
    </row>
    <row r="50" spans="1:7" ht="93.75">
      <c r="A50" s="39" t="s">
        <v>466</v>
      </c>
      <c r="B50" s="38" t="s">
        <v>465</v>
      </c>
      <c r="C50" s="38" t="s">
        <v>112</v>
      </c>
      <c r="D50" s="37">
        <v>810</v>
      </c>
      <c r="E50" s="35"/>
      <c r="F50" s="36"/>
      <c r="G50" s="35"/>
    </row>
    <row r="51" spans="1:7" ht="37.5">
      <c r="A51" s="39" t="s">
        <v>464</v>
      </c>
      <c r="B51" s="38" t="s">
        <v>463</v>
      </c>
      <c r="C51" s="38" t="s">
        <v>112</v>
      </c>
      <c r="D51" s="37">
        <v>216</v>
      </c>
      <c r="E51" s="35"/>
      <c r="F51" s="36"/>
      <c r="G51" s="35"/>
    </row>
    <row r="52" spans="1:7" ht="37.5">
      <c r="A52" s="39" t="s">
        <v>462</v>
      </c>
      <c r="B52" s="38" t="s">
        <v>461</v>
      </c>
      <c r="C52" s="38" t="s">
        <v>112</v>
      </c>
      <c r="D52" s="37">
        <f>432+610</f>
        <v>1042</v>
      </c>
      <c r="E52" s="35"/>
      <c r="F52" s="36"/>
      <c r="G52" s="35"/>
    </row>
    <row r="53" spans="1:7" ht="37.5">
      <c r="A53" s="39" t="s">
        <v>460</v>
      </c>
      <c r="B53" s="38" t="s">
        <v>459</v>
      </c>
      <c r="C53" s="38" t="s">
        <v>112</v>
      </c>
      <c r="D53" s="37">
        <v>65</v>
      </c>
      <c r="E53" s="35"/>
      <c r="F53" s="36"/>
      <c r="G53" s="35"/>
    </row>
    <row r="54" spans="1:7" ht="37.5">
      <c r="A54" s="39" t="s">
        <v>458</v>
      </c>
      <c r="B54" s="38" t="s">
        <v>457</v>
      </c>
      <c r="C54" s="38" t="s">
        <v>112</v>
      </c>
      <c r="D54" s="37">
        <v>722</v>
      </c>
      <c r="E54" s="35"/>
      <c r="F54" s="36"/>
      <c r="G54" s="35"/>
    </row>
    <row r="55" spans="1:7" ht="18.75">
      <c r="A55" s="39" t="s">
        <v>456</v>
      </c>
      <c r="B55" s="38" t="s">
        <v>455</v>
      </c>
      <c r="C55" s="38" t="s">
        <v>112</v>
      </c>
      <c r="D55" s="37">
        <v>7746</v>
      </c>
      <c r="E55" s="35"/>
      <c r="F55" s="36"/>
      <c r="G55" s="35"/>
    </row>
    <row r="56" spans="1:7" ht="56.25">
      <c r="A56" s="39" t="s">
        <v>454</v>
      </c>
      <c r="B56" s="38" t="s">
        <v>453</v>
      </c>
      <c r="C56" s="38" t="s">
        <v>112</v>
      </c>
      <c r="D56" s="37">
        <v>1751</v>
      </c>
      <c r="E56" s="35"/>
      <c r="F56" s="36"/>
      <c r="G56" s="35"/>
    </row>
    <row r="57" spans="1:7" ht="18.75">
      <c r="A57" s="39" t="s">
        <v>146</v>
      </c>
      <c r="B57" s="38" t="s">
        <v>145</v>
      </c>
      <c r="C57" s="38" t="s">
        <v>112</v>
      </c>
      <c r="D57" s="37">
        <v>5440</v>
      </c>
      <c r="E57" s="35"/>
      <c r="F57" s="36"/>
      <c r="G57" s="35"/>
    </row>
    <row r="58" spans="1:7" ht="56.25">
      <c r="A58" s="39" t="s">
        <v>144</v>
      </c>
      <c r="B58" s="38" t="s">
        <v>143</v>
      </c>
      <c r="C58" s="38" t="s">
        <v>112</v>
      </c>
      <c r="D58" s="37">
        <f>400+320</f>
        <v>720</v>
      </c>
      <c r="E58" s="35"/>
      <c r="F58" s="36"/>
      <c r="G58" s="35"/>
    </row>
    <row r="59" spans="1:7" ht="18.75">
      <c r="A59" s="39" t="s">
        <v>452</v>
      </c>
      <c r="B59" s="38" t="s">
        <v>451</v>
      </c>
      <c r="C59" s="38" t="s">
        <v>112</v>
      </c>
      <c r="D59" s="37">
        <v>524</v>
      </c>
      <c r="E59" s="35"/>
      <c r="F59" s="36"/>
      <c r="G59" s="35"/>
    </row>
    <row r="60" spans="1:7" ht="18.75">
      <c r="A60" s="39" t="s">
        <v>450</v>
      </c>
      <c r="B60" s="38" t="s">
        <v>449</v>
      </c>
      <c r="C60" s="38" t="s">
        <v>112</v>
      </c>
      <c r="D60" s="37">
        <v>860</v>
      </c>
      <c r="E60" s="35"/>
      <c r="F60" s="36"/>
      <c r="G60" s="35"/>
    </row>
    <row r="61" spans="1:7" ht="18.75">
      <c r="A61" s="39" t="s">
        <v>448</v>
      </c>
      <c r="B61" s="38" t="s">
        <v>447</v>
      </c>
      <c r="C61" s="38" t="s">
        <v>112</v>
      </c>
      <c r="D61" s="37">
        <v>1253</v>
      </c>
      <c r="E61" s="35"/>
      <c r="F61" s="36"/>
      <c r="G61" s="35"/>
    </row>
    <row r="62" spans="1:7" s="26" customFormat="1" ht="18.75">
      <c r="A62" s="39" t="s">
        <v>446</v>
      </c>
      <c r="B62" s="38" t="s">
        <v>445</v>
      </c>
      <c r="C62" s="38" t="s">
        <v>112</v>
      </c>
      <c r="D62" s="37">
        <v>792</v>
      </c>
      <c r="E62" s="54"/>
      <c r="F62" s="36"/>
      <c r="G62" s="54"/>
    </row>
    <row r="63" spans="1:7" ht="18.75">
      <c r="A63" s="39" t="s">
        <v>142</v>
      </c>
      <c r="B63" s="38" t="s">
        <v>141</v>
      </c>
      <c r="C63" s="38" t="s">
        <v>112</v>
      </c>
      <c r="D63" s="37">
        <v>6260</v>
      </c>
      <c r="E63" s="35"/>
      <c r="F63" s="36"/>
      <c r="G63" s="35"/>
    </row>
    <row r="64" spans="1:7" ht="18.75">
      <c r="A64" s="39" t="s">
        <v>86</v>
      </c>
      <c r="B64" s="38" t="s">
        <v>85</v>
      </c>
      <c r="C64" s="38" t="s">
        <v>112</v>
      </c>
      <c r="D64" s="37">
        <v>360</v>
      </c>
      <c r="E64" s="35"/>
      <c r="F64" s="36"/>
      <c r="G64" s="35"/>
    </row>
    <row r="65" spans="1:7" ht="18.75">
      <c r="A65" s="39" t="s">
        <v>444</v>
      </c>
      <c r="B65" s="38" t="s">
        <v>443</v>
      </c>
      <c r="C65" s="38" t="s">
        <v>112</v>
      </c>
      <c r="D65" s="37">
        <v>6375</v>
      </c>
      <c r="E65" s="35"/>
      <c r="F65" s="36"/>
      <c r="G65" s="35"/>
    </row>
    <row r="66" spans="1:7" ht="18.75">
      <c r="A66" s="39" t="s">
        <v>442</v>
      </c>
      <c r="B66" s="38" t="s">
        <v>441</v>
      </c>
      <c r="C66" s="38" t="s">
        <v>112</v>
      </c>
      <c r="D66" s="37">
        <v>636</v>
      </c>
      <c r="E66" s="35"/>
      <c r="F66" s="36"/>
      <c r="G66" s="35"/>
    </row>
    <row r="67" spans="1:7" ht="37.5">
      <c r="A67" s="39" t="s">
        <v>84</v>
      </c>
      <c r="B67" s="38" t="s">
        <v>64</v>
      </c>
      <c r="C67" s="38" t="s">
        <v>112</v>
      </c>
      <c r="D67" s="37">
        <v>3769</v>
      </c>
      <c r="E67" s="35"/>
      <c r="F67" s="36"/>
      <c r="G67" s="35"/>
    </row>
    <row r="68" spans="1:7" ht="37.5">
      <c r="A68" s="39" t="s">
        <v>440</v>
      </c>
      <c r="B68" s="38" t="s">
        <v>439</v>
      </c>
      <c r="C68" s="38" t="s">
        <v>112</v>
      </c>
      <c r="D68" s="37">
        <v>155</v>
      </c>
      <c r="E68" s="35"/>
      <c r="F68" s="36"/>
      <c r="G68" s="35"/>
    </row>
    <row r="69" spans="1:7" ht="75">
      <c r="A69" s="39" t="s">
        <v>438</v>
      </c>
      <c r="B69" s="38" t="s">
        <v>437</v>
      </c>
      <c r="C69" s="38" t="s">
        <v>112</v>
      </c>
      <c r="D69" s="37">
        <v>470</v>
      </c>
      <c r="E69" s="35"/>
      <c r="F69" s="36"/>
      <c r="G69" s="35"/>
    </row>
    <row r="70" spans="1:7" ht="37.5">
      <c r="A70" s="39" t="s">
        <v>436</v>
      </c>
      <c r="B70" s="38" t="s">
        <v>435</v>
      </c>
      <c r="C70" s="38" t="s">
        <v>112</v>
      </c>
      <c r="D70" s="37">
        <v>470</v>
      </c>
      <c r="E70" s="35"/>
      <c r="F70" s="36"/>
      <c r="G70" s="35"/>
    </row>
    <row r="71" spans="1:7" ht="37.5">
      <c r="A71" s="39" t="s">
        <v>434</v>
      </c>
      <c r="B71" s="38" t="s">
        <v>433</v>
      </c>
      <c r="C71" s="38" t="s">
        <v>112</v>
      </c>
      <c r="D71" s="37">
        <v>58</v>
      </c>
      <c r="E71" s="35"/>
      <c r="F71" s="36"/>
      <c r="G71" s="35"/>
    </row>
    <row r="72" spans="1:7" ht="56.25">
      <c r="A72" s="39" t="s">
        <v>134</v>
      </c>
      <c r="B72" s="38" t="s">
        <v>133</v>
      </c>
      <c r="C72" s="38" t="s">
        <v>112</v>
      </c>
      <c r="D72" s="37">
        <v>25670</v>
      </c>
      <c r="E72" s="35"/>
      <c r="F72" s="36"/>
      <c r="G72" s="35"/>
    </row>
    <row r="73" spans="1:7" ht="56.25">
      <c r="A73" s="39" t="s">
        <v>132</v>
      </c>
      <c r="B73" s="38" t="s">
        <v>131</v>
      </c>
      <c r="C73" s="38" t="s">
        <v>112</v>
      </c>
      <c r="D73" s="37">
        <v>116</v>
      </c>
      <c r="E73" s="35"/>
      <c r="F73" s="36"/>
      <c r="G73" s="35"/>
    </row>
    <row r="74" spans="1:7" ht="56.25">
      <c r="A74" s="39" t="s">
        <v>432</v>
      </c>
      <c r="B74" s="38" t="s">
        <v>431</v>
      </c>
      <c r="C74" s="38" t="s">
        <v>112</v>
      </c>
      <c r="D74" s="37">
        <v>17953</v>
      </c>
      <c r="E74" s="35"/>
      <c r="F74" s="36"/>
      <c r="G74" s="35"/>
    </row>
    <row r="75" spans="1:7" ht="18.75">
      <c r="A75" s="39" t="s">
        <v>430</v>
      </c>
      <c r="B75" s="38" t="s">
        <v>429</v>
      </c>
      <c r="C75" s="38" t="s">
        <v>112</v>
      </c>
      <c r="D75" s="37">
        <v>423</v>
      </c>
      <c r="E75" s="35"/>
      <c r="F75" s="36"/>
      <c r="G75" s="35"/>
    </row>
    <row r="76" spans="1:7" ht="37.5">
      <c r="A76" s="39" t="s">
        <v>428</v>
      </c>
      <c r="B76" s="38" t="s">
        <v>427</v>
      </c>
      <c r="C76" s="38" t="s">
        <v>112</v>
      </c>
      <c r="D76" s="37">
        <f>500+17</f>
        <v>517</v>
      </c>
      <c r="E76" s="35"/>
      <c r="F76" s="36"/>
      <c r="G76" s="35"/>
    </row>
    <row r="77" spans="1:7" ht="37.5">
      <c r="A77" s="39" t="s">
        <v>426</v>
      </c>
      <c r="B77" s="38" t="s">
        <v>425</v>
      </c>
      <c r="C77" s="38" t="s">
        <v>112</v>
      </c>
      <c r="D77" s="37">
        <v>4336</v>
      </c>
      <c r="E77" s="35"/>
      <c r="F77" s="36"/>
      <c r="G77" s="35"/>
    </row>
    <row r="78" spans="1:7" ht="37.5">
      <c r="A78" s="39" t="s">
        <v>130</v>
      </c>
      <c r="B78" s="38" t="s">
        <v>129</v>
      </c>
      <c r="C78" s="38" t="s">
        <v>112</v>
      </c>
      <c r="D78" s="37">
        <v>5280</v>
      </c>
      <c r="E78" s="35"/>
      <c r="F78" s="36"/>
      <c r="G78" s="35"/>
    </row>
    <row r="79" spans="1:7" ht="18.75">
      <c r="A79" s="39" t="s">
        <v>128</v>
      </c>
      <c r="B79" s="38" t="s">
        <v>127</v>
      </c>
      <c r="C79" s="38" t="s">
        <v>112</v>
      </c>
      <c r="D79" s="37">
        <v>5559</v>
      </c>
      <c r="E79" s="35"/>
      <c r="F79" s="36"/>
      <c r="G79" s="35"/>
    </row>
    <row r="80" spans="1:7" ht="37.5">
      <c r="A80" s="39" t="s">
        <v>126</v>
      </c>
      <c r="B80" s="38" t="s">
        <v>125</v>
      </c>
      <c r="C80" s="38" t="s">
        <v>112</v>
      </c>
      <c r="D80" s="37">
        <v>26519</v>
      </c>
      <c r="E80" s="35"/>
      <c r="F80" s="36"/>
      <c r="G80" s="35"/>
    </row>
    <row r="81" spans="1:7" ht="18.75">
      <c r="A81" s="39" t="s">
        <v>424</v>
      </c>
      <c r="B81" s="38" t="s">
        <v>423</v>
      </c>
      <c r="C81" s="38" t="s">
        <v>112</v>
      </c>
      <c r="D81" s="37">
        <f>1300+68+116</f>
        <v>1484</v>
      </c>
      <c r="E81" s="35"/>
      <c r="F81" s="36"/>
      <c r="G81" s="35"/>
    </row>
    <row r="82" spans="1:7" ht="18.75">
      <c r="A82" s="39" t="s">
        <v>422</v>
      </c>
      <c r="B82" s="38" t="s">
        <v>421</v>
      </c>
      <c r="C82" s="38" t="s">
        <v>112</v>
      </c>
      <c r="D82" s="37">
        <v>275</v>
      </c>
      <c r="E82" s="35"/>
      <c r="F82" s="36"/>
      <c r="G82" s="35"/>
    </row>
    <row r="83" spans="1:7" ht="37.5">
      <c r="A83" s="39" t="s">
        <v>124</v>
      </c>
      <c r="B83" s="38" t="s">
        <v>123</v>
      </c>
      <c r="C83" s="38" t="s">
        <v>112</v>
      </c>
      <c r="D83" s="37">
        <v>3300</v>
      </c>
      <c r="E83" s="35"/>
      <c r="F83" s="36"/>
      <c r="G83" s="35"/>
    </row>
    <row r="84" spans="1:7" ht="37.5">
      <c r="A84" s="39" t="s">
        <v>420</v>
      </c>
      <c r="B84" s="38" t="s">
        <v>419</v>
      </c>
      <c r="C84" s="38" t="s">
        <v>112</v>
      </c>
      <c r="D84" s="37">
        <v>135</v>
      </c>
      <c r="E84" s="35"/>
      <c r="F84" s="36"/>
      <c r="G84" s="35"/>
    </row>
    <row r="85" spans="1:7" ht="93.75">
      <c r="A85" s="39" t="s">
        <v>418</v>
      </c>
      <c r="B85" s="38" t="s">
        <v>417</v>
      </c>
      <c r="C85" s="38" t="s">
        <v>112</v>
      </c>
      <c r="D85" s="37">
        <v>240</v>
      </c>
      <c r="E85" s="35"/>
      <c r="F85" s="36"/>
      <c r="G85" s="35"/>
    </row>
    <row r="86" spans="1:7" ht="37.5">
      <c r="A86" s="39" t="s">
        <v>416</v>
      </c>
      <c r="B86" s="38" t="s">
        <v>415</v>
      </c>
      <c r="C86" s="38" t="s">
        <v>112</v>
      </c>
      <c r="D86" s="37">
        <v>4400</v>
      </c>
      <c r="E86" s="35"/>
      <c r="F86" s="36"/>
      <c r="G86" s="35"/>
    </row>
    <row r="87" spans="1:7" ht="56.25">
      <c r="A87" s="39" t="s">
        <v>414</v>
      </c>
      <c r="B87" s="38" t="s">
        <v>413</v>
      </c>
      <c r="C87" s="38" t="s">
        <v>112</v>
      </c>
      <c r="D87" s="37">
        <f>3000+40+400+115+322</f>
        <v>3877</v>
      </c>
      <c r="E87" s="35"/>
      <c r="F87" s="36"/>
      <c r="G87" s="35"/>
    </row>
    <row r="88" spans="1:7" ht="37.5">
      <c r="A88" s="39" t="s">
        <v>412</v>
      </c>
      <c r="B88" s="38" t="s">
        <v>411</v>
      </c>
      <c r="C88" s="38" t="s">
        <v>112</v>
      </c>
      <c r="D88" s="37">
        <v>268</v>
      </c>
      <c r="E88" s="35"/>
      <c r="F88" s="36"/>
      <c r="G88" s="35"/>
    </row>
    <row r="89" spans="1:7" ht="37.5">
      <c r="A89" s="39" t="s">
        <v>410</v>
      </c>
      <c r="B89" s="38" t="s">
        <v>409</v>
      </c>
      <c r="C89" s="38" t="s">
        <v>112</v>
      </c>
      <c r="D89" s="37">
        <v>883</v>
      </c>
      <c r="E89" s="35"/>
      <c r="F89" s="36"/>
      <c r="G89" s="35"/>
    </row>
    <row r="90" spans="1:7" ht="112.5">
      <c r="A90" s="39" t="s">
        <v>408</v>
      </c>
      <c r="B90" s="38" t="s">
        <v>407</v>
      </c>
      <c r="C90" s="38" t="s">
        <v>112</v>
      </c>
      <c r="D90" s="37">
        <f>240+2100</f>
        <v>2340</v>
      </c>
      <c r="E90" s="35"/>
      <c r="F90" s="36"/>
      <c r="G90" s="35"/>
    </row>
    <row r="91" spans="1:7" ht="37.5">
      <c r="A91" s="39" t="s">
        <v>406</v>
      </c>
      <c r="B91" s="38" t="s">
        <v>405</v>
      </c>
      <c r="C91" s="38" t="s">
        <v>112</v>
      </c>
      <c r="D91" s="37">
        <v>2438</v>
      </c>
      <c r="E91" s="35"/>
      <c r="F91" s="36"/>
      <c r="G91" s="35"/>
    </row>
    <row r="92" spans="1:7" ht="56.25">
      <c r="A92" s="39" t="s">
        <v>118</v>
      </c>
      <c r="B92" s="38" t="s">
        <v>117</v>
      </c>
      <c r="C92" s="38" t="s">
        <v>112</v>
      </c>
      <c r="D92" s="37">
        <v>96</v>
      </c>
      <c r="E92" s="35"/>
      <c r="F92" s="36"/>
      <c r="G92" s="35"/>
    </row>
    <row r="93" spans="1:7" ht="37.5">
      <c r="A93" s="39" t="s">
        <v>404</v>
      </c>
      <c r="B93" s="38" t="s">
        <v>403</v>
      </c>
      <c r="C93" s="38" t="s">
        <v>112</v>
      </c>
      <c r="D93" s="37">
        <v>8499</v>
      </c>
      <c r="E93" s="35"/>
      <c r="F93" s="36"/>
      <c r="G93" s="35"/>
    </row>
    <row r="94" spans="1:7" ht="94.5">
      <c r="A94" s="39" t="s">
        <v>402</v>
      </c>
      <c r="B94" s="38" t="s">
        <v>401</v>
      </c>
      <c r="C94" s="38" t="s">
        <v>112</v>
      </c>
      <c r="D94" s="37">
        <v>24000</v>
      </c>
      <c r="E94" s="35"/>
      <c r="F94" s="36"/>
      <c r="G94" s="76" t="s">
        <v>400</v>
      </c>
    </row>
    <row r="95" spans="1:7" ht="18.75">
      <c r="A95" s="39" t="s">
        <v>399</v>
      </c>
      <c r="B95" s="38" t="s">
        <v>398</v>
      </c>
      <c r="C95" s="38" t="s">
        <v>112</v>
      </c>
      <c r="D95" s="37">
        <v>4440</v>
      </c>
      <c r="E95" s="35"/>
      <c r="F95" s="36"/>
      <c r="G95" s="35"/>
    </row>
    <row r="96" spans="1:7" ht="93.75">
      <c r="A96" s="39" t="s">
        <v>193</v>
      </c>
      <c r="B96" s="38" t="s">
        <v>192</v>
      </c>
      <c r="C96" s="38" t="s">
        <v>112</v>
      </c>
      <c r="D96" s="37">
        <v>4264</v>
      </c>
      <c r="E96" s="35"/>
      <c r="F96" s="36"/>
      <c r="G96" s="35"/>
    </row>
    <row r="97" spans="1:7" ht="18.75">
      <c r="A97" s="39" t="s">
        <v>397</v>
      </c>
      <c r="B97" s="38" t="s">
        <v>396</v>
      </c>
      <c r="C97" s="38" t="s">
        <v>112</v>
      </c>
      <c r="D97" s="37">
        <v>193</v>
      </c>
      <c r="E97" s="35"/>
      <c r="F97" s="36"/>
      <c r="G97" s="35"/>
    </row>
    <row r="98" spans="1:7" ht="37.5">
      <c r="A98" s="39" t="s">
        <v>395</v>
      </c>
      <c r="B98" s="38" t="s">
        <v>394</v>
      </c>
      <c r="C98" s="38" t="s">
        <v>112</v>
      </c>
      <c r="D98" s="37">
        <f>10200+2051</f>
        <v>12251</v>
      </c>
      <c r="E98" s="35"/>
      <c r="F98" s="36"/>
      <c r="G98" s="35"/>
    </row>
    <row r="99" spans="1:7" ht="37.5">
      <c r="A99" s="39" t="s">
        <v>393</v>
      </c>
      <c r="B99" s="38" t="s">
        <v>392</v>
      </c>
      <c r="C99" s="38" t="s">
        <v>112</v>
      </c>
      <c r="D99" s="37">
        <v>42918</v>
      </c>
      <c r="E99" s="35"/>
      <c r="F99" s="36"/>
      <c r="G99" s="35"/>
    </row>
    <row r="100" spans="1:7" s="26" customFormat="1" ht="18.75">
      <c r="A100" s="109" t="s">
        <v>191</v>
      </c>
      <c r="B100" s="110"/>
      <c r="C100" s="38" t="s">
        <v>112</v>
      </c>
      <c r="D100" s="37">
        <v>41771</v>
      </c>
      <c r="E100" s="54"/>
      <c r="F100" s="36"/>
      <c r="G100" s="54"/>
    </row>
    <row r="101" spans="1:7" ht="18.75">
      <c r="A101" s="96" t="s">
        <v>62</v>
      </c>
      <c r="B101" s="97"/>
      <c r="C101" s="98"/>
      <c r="D101" s="37">
        <f>SUM(D12:D100)</f>
        <v>971371</v>
      </c>
      <c r="E101" s="66"/>
      <c r="F101" s="36"/>
      <c r="G101" s="35"/>
    </row>
    <row r="102" spans="1:7" s="27" customFormat="1" ht="18.75">
      <c r="A102" s="111" t="s">
        <v>391</v>
      </c>
      <c r="B102" s="112"/>
      <c r="C102" s="112"/>
      <c r="D102" s="73"/>
      <c r="E102" s="52"/>
      <c r="F102" s="51"/>
      <c r="G102" s="50"/>
    </row>
    <row r="103" spans="1:7" s="27" customFormat="1" ht="18.75">
      <c r="A103" s="94" t="s">
        <v>390</v>
      </c>
      <c r="B103" s="95"/>
      <c r="C103" s="95"/>
      <c r="D103" s="44"/>
      <c r="E103" s="42"/>
      <c r="F103" s="41"/>
      <c r="G103" s="40"/>
    </row>
    <row r="104" spans="1:7" ht="37.5">
      <c r="A104" s="39" t="s">
        <v>389</v>
      </c>
      <c r="B104" s="38" t="s">
        <v>388</v>
      </c>
      <c r="C104" s="38" t="s">
        <v>329</v>
      </c>
      <c r="D104" s="37">
        <v>48845</v>
      </c>
      <c r="E104" s="75"/>
      <c r="F104" s="36"/>
      <c r="G104" s="35"/>
    </row>
    <row r="105" spans="1:7" ht="18.75">
      <c r="A105" s="39" t="s">
        <v>387</v>
      </c>
      <c r="B105" s="38" t="s">
        <v>386</v>
      </c>
      <c r="C105" s="38" t="s">
        <v>329</v>
      </c>
      <c r="D105" s="37">
        <v>5999</v>
      </c>
      <c r="E105" s="75"/>
      <c r="F105" s="36"/>
      <c r="G105" s="35"/>
    </row>
    <row r="106" spans="1:7" ht="75">
      <c r="A106" s="39" t="s">
        <v>385</v>
      </c>
      <c r="B106" s="38" t="s">
        <v>384</v>
      </c>
      <c r="C106" s="38" t="s">
        <v>329</v>
      </c>
      <c r="D106" s="37">
        <v>4240</v>
      </c>
      <c r="E106" s="75"/>
      <c r="F106" s="36"/>
      <c r="G106" s="35"/>
    </row>
    <row r="107" spans="1:7" ht="18.75">
      <c r="A107" s="39" t="s">
        <v>383</v>
      </c>
      <c r="B107" s="38" t="s">
        <v>382</v>
      </c>
      <c r="C107" s="38" t="s">
        <v>329</v>
      </c>
      <c r="D107" s="37">
        <f>9000-3000-3000</f>
        <v>3000</v>
      </c>
      <c r="E107" s="75"/>
      <c r="F107" s="36"/>
      <c r="G107" s="35"/>
    </row>
    <row r="108" spans="1:7" ht="18.75">
      <c r="A108" s="39" t="s">
        <v>381</v>
      </c>
      <c r="B108" s="38" t="s">
        <v>380</v>
      </c>
      <c r="C108" s="38" t="s">
        <v>329</v>
      </c>
      <c r="D108" s="37">
        <v>34654</v>
      </c>
      <c r="E108" s="75"/>
      <c r="F108" s="36"/>
      <c r="G108" s="35"/>
    </row>
    <row r="109" spans="1:7" ht="56.25">
      <c r="A109" s="39" t="s">
        <v>379</v>
      </c>
      <c r="B109" s="38" t="s">
        <v>378</v>
      </c>
      <c r="C109" s="38" t="s">
        <v>329</v>
      </c>
      <c r="D109" s="37">
        <v>200</v>
      </c>
      <c r="E109" s="75"/>
      <c r="F109" s="36"/>
      <c r="G109" s="35"/>
    </row>
    <row r="110" spans="1:7" ht="37.5">
      <c r="A110" s="39" t="s">
        <v>377</v>
      </c>
      <c r="B110" s="38" t="s">
        <v>376</v>
      </c>
      <c r="C110" s="38" t="s">
        <v>329</v>
      </c>
      <c r="D110" s="37">
        <v>65842</v>
      </c>
      <c r="E110" s="75"/>
      <c r="F110" s="36"/>
      <c r="G110" s="35"/>
    </row>
    <row r="111" spans="1:7" ht="37.5">
      <c r="A111" s="39" t="s">
        <v>375</v>
      </c>
      <c r="B111" s="38" t="s">
        <v>374</v>
      </c>
      <c r="C111" s="38" t="s">
        <v>329</v>
      </c>
      <c r="D111" s="37">
        <v>83670</v>
      </c>
      <c r="E111" s="75"/>
      <c r="F111" s="36"/>
      <c r="G111" s="35"/>
    </row>
    <row r="112" spans="1:7" ht="18.75">
      <c r="A112" s="39" t="s">
        <v>373</v>
      </c>
      <c r="B112" s="38" t="s">
        <v>372</v>
      </c>
      <c r="C112" s="38" t="s">
        <v>329</v>
      </c>
      <c r="D112" s="37">
        <f>7114-2160</f>
        <v>4954</v>
      </c>
      <c r="E112" s="75"/>
      <c r="F112" s="36"/>
      <c r="G112" s="35"/>
    </row>
    <row r="113" spans="1:7" ht="37.5">
      <c r="A113" s="39" t="s">
        <v>371</v>
      </c>
      <c r="B113" s="38" t="s">
        <v>370</v>
      </c>
      <c r="C113" s="38" t="s">
        <v>329</v>
      </c>
      <c r="D113" s="37">
        <v>111879</v>
      </c>
      <c r="E113" s="75"/>
      <c r="F113" s="36"/>
      <c r="G113" s="35"/>
    </row>
    <row r="114" spans="1:7" ht="18.75">
      <c r="A114" s="39" t="s">
        <v>369</v>
      </c>
      <c r="B114" s="38" t="s">
        <v>368</v>
      </c>
      <c r="C114" s="38" t="s">
        <v>329</v>
      </c>
      <c r="D114" s="37">
        <v>1444</v>
      </c>
      <c r="E114" s="75"/>
      <c r="F114" s="36"/>
      <c r="G114" s="35"/>
    </row>
    <row r="115" spans="1:7" ht="56.25">
      <c r="A115" s="39" t="s">
        <v>367</v>
      </c>
      <c r="B115" s="38" t="s">
        <v>366</v>
      </c>
      <c r="C115" s="38" t="s">
        <v>329</v>
      </c>
      <c r="D115" s="37">
        <f>20000+39063+6179-24178</f>
        <v>41064</v>
      </c>
      <c r="E115" s="75"/>
      <c r="F115" s="36"/>
      <c r="G115" s="35"/>
    </row>
    <row r="116" spans="1:7" ht="37.5">
      <c r="A116" s="39" t="s">
        <v>365</v>
      </c>
      <c r="B116" s="38" t="s">
        <v>364</v>
      </c>
      <c r="C116" s="38" t="s">
        <v>329</v>
      </c>
      <c r="D116" s="37">
        <v>14238</v>
      </c>
      <c r="E116" s="75"/>
      <c r="F116" s="36"/>
      <c r="G116" s="35"/>
    </row>
    <row r="117" spans="1:7" ht="56.25">
      <c r="A117" s="39" t="s">
        <v>363</v>
      </c>
      <c r="B117" s="38" t="s">
        <v>362</v>
      </c>
      <c r="C117" s="38" t="s">
        <v>329</v>
      </c>
      <c r="D117" s="37">
        <v>137704</v>
      </c>
      <c r="E117" s="75"/>
      <c r="F117" s="36"/>
      <c r="G117" s="35"/>
    </row>
    <row r="118" spans="1:7" ht="37.5">
      <c r="A118" s="39" t="s">
        <v>361</v>
      </c>
      <c r="B118" s="38" t="s">
        <v>360</v>
      </c>
      <c r="C118" s="38" t="s">
        <v>329</v>
      </c>
      <c r="D118" s="37">
        <v>24803</v>
      </c>
      <c r="E118" s="75"/>
      <c r="F118" s="36"/>
      <c r="G118" s="35"/>
    </row>
    <row r="119" spans="1:7" ht="18.75">
      <c r="A119" s="39" t="s">
        <v>359</v>
      </c>
      <c r="B119" s="38" t="s">
        <v>358</v>
      </c>
      <c r="C119" s="38" t="s">
        <v>329</v>
      </c>
      <c r="D119" s="37">
        <f>99999-20629-6132-7345-36000-953+37500</f>
        <v>66440</v>
      </c>
      <c r="E119" s="75"/>
      <c r="F119" s="36"/>
      <c r="G119" s="35"/>
    </row>
    <row r="120" spans="1:7" ht="56.25">
      <c r="A120" s="39" t="s">
        <v>357</v>
      </c>
      <c r="B120" s="38" t="s">
        <v>356</v>
      </c>
      <c r="C120" s="38" t="s">
        <v>329</v>
      </c>
      <c r="D120" s="37">
        <v>64414</v>
      </c>
      <c r="E120" s="75"/>
      <c r="F120" s="36"/>
      <c r="G120" s="35"/>
    </row>
    <row r="121" spans="1:7" ht="18.75">
      <c r="A121" s="39" t="s">
        <v>355</v>
      </c>
      <c r="B121" s="38" t="s">
        <v>354</v>
      </c>
      <c r="C121" s="38" t="s">
        <v>329</v>
      </c>
      <c r="D121" s="37">
        <v>21369</v>
      </c>
      <c r="E121" s="75"/>
      <c r="F121" s="36"/>
      <c r="G121" s="35"/>
    </row>
    <row r="122" spans="1:7" ht="37.5">
      <c r="A122" s="39" t="s">
        <v>353</v>
      </c>
      <c r="B122" s="38" t="s">
        <v>352</v>
      </c>
      <c r="C122" s="38" t="s">
        <v>329</v>
      </c>
      <c r="D122" s="37">
        <f>1690-1000</f>
        <v>690</v>
      </c>
      <c r="E122" s="75"/>
      <c r="F122" s="36"/>
      <c r="G122" s="35"/>
    </row>
    <row r="123" spans="1:7" ht="75">
      <c r="A123" s="39" t="s">
        <v>351</v>
      </c>
      <c r="B123" s="38" t="s">
        <v>350</v>
      </c>
      <c r="C123" s="38" t="s">
        <v>329</v>
      </c>
      <c r="D123" s="37">
        <f>99999-60000-4821-10000-2540-75-11739</f>
        <v>10824</v>
      </c>
      <c r="E123" s="75"/>
      <c r="F123" s="36"/>
      <c r="G123" s="35"/>
    </row>
    <row r="124" spans="1:7" ht="150">
      <c r="A124" s="39" t="s">
        <v>349</v>
      </c>
      <c r="B124" s="38" t="s">
        <v>348</v>
      </c>
      <c r="C124" s="38" t="s">
        <v>329</v>
      </c>
      <c r="D124" s="37">
        <f>18700+81000-86000+16644-18887</f>
        <v>11457</v>
      </c>
      <c r="E124" s="75"/>
      <c r="F124" s="36"/>
      <c r="G124" s="35"/>
    </row>
    <row r="125" spans="1:7" ht="75">
      <c r="A125" s="39" t="s">
        <v>347</v>
      </c>
      <c r="B125" s="38" t="s">
        <v>346</v>
      </c>
      <c r="C125" s="38" t="s">
        <v>329</v>
      </c>
      <c r="D125" s="37">
        <v>48427</v>
      </c>
      <c r="E125" s="75"/>
      <c r="F125" s="36"/>
      <c r="G125" s="35"/>
    </row>
    <row r="126" spans="1:7" ht="56.25">
      <c r="A126" s="39" t="s">
        <v>345</v>
      </c>
      <c r="B126" s="38" t="s">
        <v>344</v>
      </c>
      <c r="C126" s="38" t="s">
        <v>329</v>
      </c>
      <c r="D126" s="37">
        <v>66985</v>
      </c>
      <c r="E126" s="75"/>
      <c r="F126" s="36"/>
      <c r="G126" s="35"/>
    </row>
    <row r="127" spans="1:7" ht="18.75">
      <c r="A127" s="39" t="s">
        <v>343</v>
      </c>
      <c r="B127" s="38" t="s">
        <v>342</v>
      </c>
      <c r="C127" s="38" t="s">
        <v>329</v>
      </c>
      <c r="D127" s="37">
        <v>54816</v>
      </c>
      <c r="E127" s="75"/>
      <c r="F127" s="36"/>
      <c r="G127" s="35"/>
    </row>
    <row r="128" spans="1:7" ht="18.75">
      <c r="A128" s="39" t="s">
        <v>341</v>
      </c>
      <c r="B128" s="38" t="s">
        <v>340</v>
      </c>
      <c r="C128" s="38" t="s">
        <v>329</v>
      </c>
      <c r="D128" s="37">
        <f>99999-36024-70</f>
        <v>63905</v>
      </c>
      <c r="E128" s="75"/>
      <c r="F128" s="36"/>
      <c r="G128" s="35"/>
    </row>
    <row r="129" spans="1:7" ht="56.25">
      <c r="A129" s="39" t="s">
        <v>339</v>
      </c>
      <c r="B129" s="38" t="s">
        <v>338</v>
      </c>
      <c r="C129" s="38" t="s">
        <v>329</v>
      </c>
      <c r="D129" s="37">
        <v>55539</v>
      </c>
      <c r="E129" s="75"/>
      <c r="F129" s="36"/>
      <c r="G129" s="35"/>
    </row>
    <row r="130" spans="1:7" ht="18.75">
      <c r="A130" s="39" t="s">
        <v>150</v>
      </c>
      <c r="B130" s="38" t="s">
        <v>149</v>
      </c>
      <c r="C130" s="38" t="s">
        <v>329</v>
      </c>
      <c r="D130" s="37">
        <v>56228</v>
      </c>
      <c r="E130" s="75"/>
      <c r="F130" s="36"/>
      <c r="G130" s="35"/>
    </row>
    <row r="131" spans="1:7" ht="18.75">
      <c r="A131" s="39" t="s">
        <v>337</v>
      </c>
      <c r="B131" s="38" t="s">
        <v>336</v>
      </c>
      <c r="C131" s="38" t="s">
        <v>329</v>
      </c>
      <c r="D131" s="37">
        <v>754</v>
      </c>
      <c r="E131" s="75"/>
      <c r="F131" s="36"/>
      <c r="G131" s="35"/>
    </row>
    <row r="132" spans="1:7" ht="56.25">
      <c r="A132" s="39" t="s">
        <v>335</v>
      </c>
      <c r="B132" s="38" t="s">
        <v>334</v>
      </c>
      <c r="C132" s="38" t="s">
        <v>329</v>
      </c>
      <c r="D132" s="37">
        <f>20000-5000-370</f>
        <v>14630</v>
      </c>
      <c r="E132" s="75"/>
      <c r="F132" s="36"/>
      <c r="G132" s="35"/>
    </row>
    <row r="133" spans="1:7" ht="37.5">
      <c r="A133" s="39" t="s">
        <v>333</v>
      </c>
      <c r="B133" s="38" t="s">
        <v>332</v>
      </c>
      <c r="C133" s="38" t="s">
        <v>329</v>
      </c>
      <c r="D133" s="37">
        <v>99885</v>
      </c>
      <c r="E133" s="75"/>
      <c r="F133" s="36"/>
      <c r="G133" s="35"/>
    </row>
    <row r="134" spans="1:7" ht="56.25">
      <c r="A134" s="39" t="s">
        <v>114</v>
      </c>
      <c r="B134" s="38" t="s">
        <v>113</v>
      </c>
      <c r="C134" s="38" t="s">
        <v>329</v>
      </c>
      <c r="D134" s="37">
        <v>23179</v>
      </c>
      <c r="E134" s="75"/>
      <c r="F134" s="36"/>
      <c r="G134" s="35"/>
    </row>
    <row r="135" spans="1:7" ht="37.5">
      <c r="A135" s="39" t="s">
        <v>331</v>
      </c>
      <c r="B135" s="38" t="s">
        <v>330</v>
      </c>
      <c r="C135" s="38" t="s">
        <v>329</v>
      </c>
      <c r="D135" s="37">
        <v>198424</v>
      </c>
      <c r="E135" s="75"/>
      <c r="F135" s="36"/>
      <c r="G135" s="35"/>
    </row>
    <row r="136" spans="1:7" ht="18.75">
      <c r="A136" s="118" t="s">
        <v>62</v>
      </c>
      <c r="B136" s="119"/>
      <c r="C136" s="120"/>
      <c r="D136" s="74">
        <f>SUM(D104:D135)</f>
        <v>1440502</v>
      </c>
      <c r="E136" s="66"/>
      <c r="F136" s="36"/>
      <c r="G136" s="66"/>
    </row>
    <row r="137" spans="1:7" s="27" customFormat="1" ht="18.75">
      <c r="A137" s="111" t="s">
        <v>328</v>
      </c>
      <c r="B137" s="112"/>
      <c r="C137" s="112"/>
      <c r="D137" s="73"/>
      <c r="E137" s="52"/>
      <c r="F137" s="51"/>
      <c r="G137" s="50"/>
    </row>
    <row r="138" spans="1:7" s="27" customFormat="1" ht="18.75">
      <c r="A138" s="94" t="s">
        <v>327</v>
      </c>
      <c r="B138" s="95"/>
      <c r="C138" s="95"/>
      <c r="D138" s="44"/>
      <c r="E138" s="42"/>
      <c r="F138" s="41"/>
      <c r="G138" s="40"/>
    </row>
    <row r="139" spans="1:7" s="27" customFormat="1" ht="18.75">
      <c r="A139" s="39" t="s">
        <v>326</v>
      </c>
      <c r="B139" s="38" t="s">
        <v>325</v>
      </c>
      <c r="C139" s="72">
        <v>2230</v>
      </c>
      <c r="D139" s="37">
        <f>1197+293+2000-1020</f>
        <v>2470</v>
      </c>
      <c r="E139" s="35"/>
      <c r="F139" s="36"/>
      <c r="G139" s="35"/>
    </row>
    <row r="140" spans="1:7" ht="18.75">
      <c r="A140" s="39" t="s">
        <v>324</v>
      </c>
      <c r="B140" s="38" t="s">
        <v>323</v>
      </c>
      <c r="C140" s="72">
        <v>2230</v>
      </c>
      <c r="D140" s="37">
        <f>4500-4500+5000+5000+5000+7305+16000+8895-6000-5671</f>
        <v>35529</v>
      </c>
      <c r="E140" s="35"/>
      <c r="F140" s="36"/>
      <c r="G140" s="35"/>
    </row>
    <row r="141" spans="1:7" ht="18.75">
      <c r="A141" s="39" t="s">
        <v>322</v>
      </c>
      <c r="B141" s="38" t="s">
        <v>321</v>
      </c>
      <c r="C141" s="72">
        <v>2230</v>
      </c>
      <c r="D141" s="37">
        <f>5000-4000+4752-3426</f>
        <v>2326</v>
      </c>
      <c r="E141" s="35"/>
      <c r="F141" s="36"/>
      <c r="G141" s="35"/>
    </row>
    <row r="142" spans="1:7" ht="37.5">
      <c r="A142" s="39" t="s">
        <v>320</v>
      </c>
      <c r="B142" s="38" t="s">
        <v>319</v>
      </c>
      <c r="C142" s="72">
        <v>2230</v>
      </c>
      <c r="D142" s="37">
        <f>13275-815-12460+10000+10878-878+5636-26+7000+14804+18506-1710+484</f>
        <v>64694</v>
      </c>
      <c r="E142" s="35"/>
      <c r="F142" s="36"/>
      <c r="G142" s="35"/>
    </row>
    <row r="143" spans="1:7" ht="37.5">
      <c r="A143" s="39" t="s">
        <v>318</v>
      </c>
      <c r="B143" s="38" t="s">
        <v>317</v>
      </c>
      <c r="C143" s="72">
        <v>2230</v>
      </c>
      <c r="D143" s="37">
        <f>42750-2000-17900+20-7870+7000+8000+20000+15000+18314-7226+5770</f>
        <v>81858</v>
      </c>
      <c r="E143" s="35"/>
      <c r="F143" s="36"/>
      <c r="G143" s="35"/>
    </row>
    <row r="144" spans="1:7" ht="18.75">
      <c r="A144" s="39" t="s">
        <v>316</v>
      </c>
      <c r="B144" s="38" t="s">
        <v>315</v>
      </c>
      <c r="C144" s="72">
        <v>2230</v>
      </c>
      <c r="D144" s="37">
        <f>474-1</f>
        <v>473</v>
      </c>
      <c r="E144" s="35"/>
      <c r="F144" s="36"/>
      <c r="G144" s="35"/>
    </row>
    <row r="145" spans="1:7" ht="18.75">
      <c r="A145" s="39" t="s">
        <v>314</v>
      </c>
      <c r="B145" s="38" t="s">
        <v>313</v>
      </c>
      <c r="C145" s="72">
        <v>2230</v>
      </c>
      <c r="D145" s="37">
        <f>20250+5228+5006+15800-3000-3717+30000-11253-6248</f>
        <v>52066</v>
      </c>
      <c r="E145" s="35"/>
      <c r="F145" s="36"/>
      <c r="G145" s="35"/>
    </row>
    <row r="146" spans="1:7" ht="56.25">
      <c r="A146" s="39" t="s">
        <v>312</v>
      </c>
      <c r="B146" s="38" t="s">
        <v>311</v>
      </c>
      <c r="C146" s="72">
        <v>2230</v>
      </c>
      <c r="D146" s="37">
        <v>63000</v>
      </c>
      <c r="E146" s="35"/>
      <c r="F146" s="36"/>
      <c r="G146" s="35"/>
    </row>
    <row r="147" spans="1:7" ht="37.5">
      <c r="A147" s="39" t="s">
        <v>310</v>
      </c>
      <c r="B147" s="38" t="s">
        <v>309</v>
      </c>
      <c r="C147" s="72">
        <v>2230</v>
      </c>
      <c r="D147" s="37">
        <f>59400-5000-5006</f>
        <v>49394</v>
      </c>
      <c r="E147" s="35"/>
      <c r="F147" s="36"/>
      <c r="G147" s="35"/>
    </row>
    <row r="148" spans="1:7" ht="37.5">
      <c r="A148" s="39" t="s">
        <v>308</v>
      </c>
      <c r="B148" s="38" t="s">
        <v>307</v>
      </c>
      <c r="C148" s="72">
        <v>2230</v>
      </c>
      <c r="D148" s="37">
        <f>21600+17900+21750</f>
        <v>61250</v>
      </c>
      <c r="E148" s="35"/>
      <c r="F148" s="36"/>
      <c r="G148" s="35"/>
    </row>
    <row r="149" spans="1:7" ht="37.5">
      <c r="A149" s="39" t="s">
        <v>306</v>
      </c>
      <c r="B149" s="38" t="s">
        <v>305</v>
      </c>
      <c r="C149" s="72">
        <v>2230</v>
      </c>
      <c r="D149" s="37">
        <f>70875-40000-2000+1998-1998</f>
        <v>28875</v>
      </c>
      <c r="E149" s="35"/>
      <c r="F149" s="36"/>
      <c r="G149" s="35"/>
    </row>
    <row r="150" spans="1:7" ht="18.75">
      <c r="A150" s="39" t="s">
        <v>304</v>
      </c>
      <c r="B150" s="38" t="s">
        <v>303</v>
      </c>
      <c r="C150" s="72">
        <v>2230</v>
      </c>
      <c r="D150" s="37">
        <f>450+1000+499+1010</f>
        <v>2959</v>
      </c>
      <c r="E150" s="35"/>
      <c r="F150" s="36"/>
      <c r="G150" s="35"/>
    </row>
    <row r="151" spans="1:7" ht="37.5">
      <c r="A151" s="39" t="s">
        <v>302</v>
      </c>
      <c r="B151" s="38" t="s">
        <v>301</v>
      </c>
      <c r="C151" s="72">
        <v>2230</v>
      </c>
      <c r="D151" s="37">
        <f>1550+2000+3000+3691</f>
        <v>10241</v>
      </c>
      <c r="E151" s="35"/>
      <c r="F151" s="36"/>
      <c r="G151" s="35"/>
    </row>
    <row r="152" spans="1:7" ht="37.5">
      <c r="A152" s="39" t="s">
        <v>300</v>
      </c>
      <c r="B152" s="38" t="s">
        <v>299</v>
      </c>
      <c r="C152" s="72">
        <v>2230</v>
      </c>
      <c r="D152" s="37">
        <f>17415+2036+10000+21500+8112+9999-689</f>
        <v>68373</v>
      </c>
      <c r="E152" s="35"/>
      <c r="F152" s="36"/>
      <c r="G152" s="35"/>
    </row>
    <row r="153" spans="1:7" ht="18.75">
      <c r="A153" s="39" t="s">
        <v>298</v>
      </c>
      <c r="B153" s="38" t="s">
        <v>297</v>
      </c>
      <c r="C153" s="72">
        <v>2230</v>
      </c>
      <c r="D153" s="37">
        <f>7920+4980+15000-766+8487</f>
        <v>35621</v>
      </c>
      <c r="E153" s="35"/>
      <c r="F153" s="36"/>
      <c r="G153" s="35"/>
    </row>
    <row r="154" spans="1:7" ht="18.75">
      <c r="A154" s="39" t="s">
        <v>296</v>
      </c>
      <c r="B154" s="38" t="s">
        <v>295</v>
      </c>
      <c r="C154" s="72">
        <v>2230</v>
      </c>
      <c r="D154" s="37">
        <f>59060-5228-7156-1</f>
        <v>46675</v>
      </c>
      <c r="E154" s="35"/>
      <c r="F154" s="36"/>
      <c r="G154" s="35"/>
    </row>
    <row r="155" spans="1:7" ht="18.75">
      <c r="A155" s="39" t="s">
        <v>294</v>
      </c>
      <c r="B155" s="38" t="s">
        <v>293</v>
      </c>
      <c r="C155" s="72">
        <v>2230</v>
      </c>
      <c r="D155" s="37">
        <f>44100+30000-1615-3045-7500</f>
        <v>61940</v>
      </c>
      <c r="E155" s="35"/>
      <c r="F155" s="36"/>
      <c r="G155" s="35"/>
    </row>
    <row r="156" spans="1:7" ht="18.75">
      <c r="A156" s="39" t="s">
        <v>292</v>
      </c>
      <c r="B156" s="38" t="s">
        <v>291</v>
      </c>
      <c r="C156" s="72">
        <v>2230</v>
      </c>
      <c r="D156" s="37">
        <f>2000+40000-6000-8000-4305-1287+1872+284+2916+796</f>
        <v>28276</v>
      </c>
      <c r="E156" s="35"/>
      <c r="F156" s="36"/>
      <c r="G156" s="35"/>
    </row>
    <row r="157" spans="1:7" ht="18.75">
      <c r="A157" s="39" t="s">
        <v>290</v>
      </c>
      <c r="B157" s="38" t="s">
        <v>289</v>
      </c>
      <c r="C157" s="72">
        <v>2230</v>
      </c>
      <c r="D157" s="37">
        <f>26930+19969-1000-7000-3949</f>
        <v>34950</v>
      </c>
      <c r="E157" s="35"/>
      <c r="F157" s="36"/>
      <c r="G157" s="35"/>
    </row>
    <row r="158" spans="1:7" ht="37.5">
      <c r="A158" s="39" t="s">
        <v>288</v>
      </c>
      <c r="B158" s="38" t="s">
        <v>287</v>
      </c>
      <c r="C158" s="72">
        <v>2230</v>
      </c>
      <c r="D158" s="37">
        <f>4500+5000+3580+10000-5000-3000+3200+4950+5310</f>
        <v>28540</v>
      </c>
      <c r="E158" s="35"/>
      <c r="F158" s="36"/>
      <c r="G158" s="35"/>
    </row>
    <row r="159" spans="1:7" ht="37.5">
      <c r="A159" s="39" t="s">
        <v>286</v>
      </c>
      <c r="B159" s="38" t="s">
        <v>285</v>
      </c>
      <c r="C159" s="72">
        <v>2230</v>
      </c>
      <c r="D159" s="37">
        <f>2250-2250+5000+3000-2000-1899+751</f>
        <v>4852</v>
      </c>
      <c r="E159" s="35"/>
      <c r="F159" s="36"/>
      <c r="G159" s="35"/>
    </row>
    <row r="160" spans="1:7" ht="37.5">
      <c r="A160" s="39" t="s">
        <v>284</v>
      </c>
      <c r="B160" s="38" t="s">
        <v>283</v>
      </c>
      <c r="C160" s="72">
        <v>2230</v>
      </c>
      <c r="D160" s="37">
        <f>17390+39000-5000-1998-17000-8000-2000+5079+12000+10000+7000+13278</f>
        <v>69749</v>
      </c>
      <c r="E160" s="35"/>
      <c r="F160" s="36"/>
      <c r="G160" s="35"/>
    </row>
    <row r="161" spans="1:7" ht="56.25">
      <c r="A161" s="39" t="s">
        <v>282</v>
      </c>
      <c r="B161" s="38" t="s">
        <v>281</v>
      </c>
      <c r="C161" s="72">
        <v>2230</v>
      </c>
      <c r="D161" s="37">
        <f>41310-10704-2</f>
        <v>30604</v>
      </c>
      <c r="E161" s="35"/>
      <c r="F161" s="36"/>
      <c r="G161" s="35"/>
    </row>
    <row r="162" spans="1:7" ht="37.5">
      <c r="A162" s="39" t="s">
        <v>280</v>
      </c>
      <c r="B162" s="38" t="s">
        <v>279</v>
      </c>
      <c r="C162" s="72">
        <v>2230</v>
      </c>
      <c r="D162" s="37">
        <f>2250-2250+1120+870+692</f>
        <v>2682</v>
      </c>
      <c r="E162" s="35"/>
      <c r="F162" s="36"/>
      <c r="G162" s="35"/>
    </row>
    <row r="163" spans="1:7" ht="56.25">
      <c r="A163" s="39" t="s">
        <v>278</v>
      </c>
      <c r="B163" s="38" t="s">
        <v>277</v>
      </c>
      <c r="C163" s="72">
        <v>2230</v>
      </c>
      <c r="D163" s="37">
        <f>17215+14985+10643+8894-4950+21298-15000</f>
        <v>53085</v>
      </c>
      <c r="E163" s="35"/>
      <c r="F163" s="36"/>
      <c r="G163" s="35"/>
    </row>
    <row r="164" spans="1:7" ht="37.5">
      <c r="A164" s="39" t="s">
        <v>276</v>
      </c>
      <c r="B164" s="38" t="s">
        <v>275</v>
      </c>
      <c r="C164" s="72">
        <v>2230</v>
      </c>
      <c r="D164" s="37">
        <v>470</v>
      </c>
      <c r="E164" s="35"/>
      <c r="F164" s="36"/>
      <c r="G164" s="35"/>
    </row>
    <row r="165" spans="1:7" ht="18.75">
      <c r="A165" s="39" t="s">
        <v>274</v>
      </c>
      <c r="B165" s="38" t="s">
        <v>273</v>
      </c>
      <c r="C165" s="72">
        <v>2230</v>
      </c>
      <c r="D165" s="37">
        <f>2160-521-1000-613+10068+26+2250</f>
        <v>12370</v>
      </c>
      <c r="E165" s="35"/>
      <c r="F165" s="36"/>
      <c r="G165" s="35"/>
    </row>
    <row r="166" spans="1:7" ht="18.75">
      <c r="A166" s="39" t="s">
        <v>272</v>
      </c>
      <c r="B166" s="38" t="s">
        <v>271</v>
      </c>
      <c r="C166" s="72">
        <v>2230</v>
      </c>
      <c r="D166" s="37">
        <f>405+575+945</f>
        <v>1925</v>
      </c>
      <c r="E166" s="35"/>
      <c r="F166" s="36"/>
      <c r="G166" s="35"/>
    </row>
    <row r="167" spans="1:7" ht="37.5">
      <c r="A167" s="39" t="s">
        <v>270</v>
      </c>
      <c r="B167" s="38" t="s">
        <v>269</v>
      </c>
      <c r="C167" s="72">
        <v>2230</v>
      </c>
      <c r="D167" s="37">
        <f>18612+815+2000+1000+6875+4000-6300+1883+2615+4500+1710+4000+11+4595-6994</f>
        <v>39322</v>
      </c>
      <c r="E167" s="35"/>
      <c r="F167" s="36"/>
      <c r="G167" s="35"/>
    </row>
    <row r="168" spans="1:7" ht="56.25">
      <c r="A168" s="39" t="s">
        <v>268</v>
      </c>
      <c r="B168" s="38" t="s">
        <v>267</v>
      </c>
      <c r="C168" s="72">
        <v>2230</v>
      </c>
      <c r="D168" s="37">
        <f>740-141</f>
        <v>599</v>
      </c>
      <c r="E168" s="35"/>
      <c r="F168" s="36"/>
      <c r="G168" s="35"/>
    </row>
    <row r="169" spans="1:7" ht="37.5">
      <c r="A169" s="39" t="s">
        <v>266</v>
      </c>
      <c r="B169" s="38" t="s">
        <v>265</v>
      </c>
      <c r="C169" s="72">
        <v>2230</v>
      </c>
      <c r="D169" s="37">
        <f>126+714</f>
        <v>840</v>
      </c>
      <c r="E169" s="35"/>
      <c r="F169" s="36"/>
      <c r="G169" s="35"/>
    </row>
    <row r="170" spans="1:7" ht="18.75">
      <c r="A170" s="71" t="s">
        <v>264</v>
      </c>
      <c r="B170" s="70"/>
      <c r="C170" s="59" t="s">
        <v>62</v>
      </c>
      <c r="D170" s="37">
        <f>SUM(D139:D169)</f>
        <v>976008</v>
      </c>
      <c r="E170" s="66"/>
      <c r="F170" s="36"/>
      <c r="G170" s="35"/>
    </row>
    <row r="171" spans="1:7" s="27" customFormat="1" ht="18.75">
      <c r="A171" s="114" t="s">
        <v>111</v>
      </c>
      <c r="B171" s="115"/>
      <c r="C171" s="115"/>
      <c r="D171" s="69"/>
      <c r="E171" s="52"/>
      <c r="F171" s="51"/>
      <c r="G171" s="50"/>
    </row>
    <row r="172" spans="1:7" s="27" customFormat="1" ht="18.75" hidden="1">
      <c r="A172" s="103" t="s">
        <v>263</v>
      </c>
      <c r="B172" s="104"/>
      <c r="C172" s="104"/>
      <c r="D172" s="57"/>
      <c r="E172" s="57"/>
      <c r="G172" s="56"/>
    </row>
    <row r="173" spans="1:7" s="27" customFormat="1" ht="18.75" hidden="1">
      <c r="A173" s="103" t="s">
        <v>262</v>
      </c>
      <c r="B173" s="104"/>
      <c r="C173" s="104"/>
      <c r="D173" s="57"/>
      <c r="E173" s="57"/>
      <c r="G173" s="56"/>
    </row>
    <row r="174" spans="1:7" s="27" customFormat="1" ht="18.75" customHeight="1" hidden="1">
      <c r="A174" s="103" t="s">
        <v>261</v>
      </c>
      <c r="B174" s="104"/>
      <c r="C174" s="104"/>
      <c r="D174" s="57"/>
      <c r="E174" s="57"/>
      <c r="G174" s="56"/>
    </row>
    <row r="175" spans="1:7" s="27" customFormat="1" ht="18.75">
      <c r="A175" s="94" t="s">
        <v>260</v>
      </c>
      <c r="B175" s="95"/>
      <c r="C175" s="95"/>
      <c r="D175" s="42"/>
      <c r="E175" s="42"/>
      <c r="F175" s="41"/>
      <c r="G175" s="40"/>
    </row>
    <row r="176" spans="1:7" s="26" customFormat="1" ht="37.5">
      <c r="A176" s="39" t="s">
        <v>259</v>
      </c>
      <c r="B176" s="38" t="s">
        <v>258</v>
      </c>
      <c r="C176" s="38" t="s">
        <v>95</v>
      </c>
      <c r="D176" s="37">
        <f>82800-97+3108+150+360-3060</f>
        <v>83261</v>
      </c>
      <c r="E176" s="37"/>
      <c r="F176" s="36"/>
      <c r="G176" s="54"/>
    </row>
    <row r="177" spans="1:7" s="26" customFormat="1" ht="56.25">
      <c r="A177" s="39" t="s">
        <v>109</v>
      </c>
      <c r="B177" s="38" t="s">
        <v>108</v>
      </c>
      <c r="C177" s="38" t="s">
        <v>95</v>
      </c>
      <c r="D177" s="37">
        <f>54400+249+2240+498+2772+17088+25559+50000-360+16425</f>
        <v>168871</v>
      </c>
      <c r="E177" s="54"/>
      <c r="F177" s="36"/>
      <c r="G177" s="54"/>
    </row>
    <row r="178" spans="1:7" s="26" customFormat="1" ht="56.25">
      <c r="A178" s="39" t="s">
        <v>257</v>
      </c>
      <c r="B178" s="38" t="s">
        <v>256</v>
      </c>
      <c r="C178" s="38" t="s">
        <v>95</v>
      </c>
      <c r="D178" s="37">
        <f>10000-2728+10000+6000-10000-5000-8272+19560+100000-4000-3500+50000-23859</f>
        <v>138201</v>
      </c>
      <c r="E178" s="54"/>
      <c r="F178" s="36"/>
      <c r="G178" s="54"/>
    </row>
    <row r="179" spans="1:7" s="26" customFormat="1" ht="56.25">
      <c r="A179" s="39" t="s">
        <v>107</v>
      </c>
      <c r="B179" s="38" t="s">
        <v>106</v>
      </c>
      <c r="C179" s="38" t="s">
        <v>95</v>
      </c>
      <c r="D179" s="37">
        <f>82250-5000-25000+5978+4435+22249+50000-48898</f>
        <v>86014</v>
      </c>
      <c r="E179" s="54"/>
      <c r="F179" s="36"/>
      <c r="G179" s="54"/>
    </row>
    <row r="180" spans="1:7" s="26" customFormat="1" ht="56.25">
      <c r="A180" s="39" t="s">
        <v>255</v>
      </c>
      <c r="B180" s="38" t="s">
        <v>254</v>
      </c>
      <c r="C180" s="38" t="s">
        <v>95</v>
      </c>
      <c r="D180" s="37">
        <f>24000-5000+10000-2000-3139-274-498+45069-2772-4098-23216-4435-2954+3485+50000+102639</f>
        <v>186807</v>
      </c>
      <c r="E180" s="54"/>
      <c r="F180" s="36"/>
      <c r="G180" s="54"/>
    </row>
    <row r="181" spans="1:7" s="26" customFormat="1" ht="18.75">
      <c r="A181" s="39" t="s">
        <v>253</v>
      </c>
      <c r="B181" s="38" t="s">
        <v>252</v>
      </c>
      <c r="C181" s="38" t="s">
        <v>95</v>
      </c>
      <c r="D181" s="37">
        <v>99340</v>
      </c>
      <c r="E181" s="54"/>
      <c r="F181" s="36"/>
      <c r="G181" s="54"/>
    </row>
    <row r="182" spans="1:7" s="26" customFormat="1" ht="37.5">
      <c r="A182" s="39" t="s">
        <v>185</v>
      </c>
      <c r="B182" s="38" t="s">
        <v>184</v>
      </c>
      <c r="C182" s="38" t="s">
        <v>95</v>
      </c>
      <c r="D182" s="37">
        <v>16622</v>
      </c>
      <c r="E182" s="54"/>
      <c r="F182" s="36"/>
      <c r="G182" s="54"/>
    </row>
    <row r="183" spans="1:7" s="26" customFormat="1" ht="37.5">
      <c r="A183" s="39" t="s">
        <v>251</v>
      </c>
      <c r="B183" s="38" t="s">
        <v>250</v>
      </c>
      <c r="C183" s="38" t="s">
        <v>95</v>
      </c>
      <c r="D183" s="37">
        <f>19814+17749-11537-1178-4316+15576+56850</f>
        <v>92958</v>
      </c>
      <c r="E183" s="54"/>
      <c r="F183" s="36"/>
      <c r="G183" s="54"/>
    </row>
    <row r="184" spans="1:7" s="26" customFormat="1" ht="56.25">
      <c r="A184" s="39" t="s">
        <v>249</v>
      </c>
      <c r="B184" s="68" t="s">
        <v>248</v>
      </c>
      <c r="C184" s="38" t="s">
        <v>95</v>
      </c>
      <c r="D184" s="37">
        <f>29900+6777+159-250-144+386-300</f>
        <v>36528</v>
      </c>
      <c r="E184" s="54"/>
      <c r="F184" s="36"/>
      <c r="G184" s="54"/>
    </row>
    <row r="185" spans="1:7" s="26" customFormat="1" ht="18.75">
      <c r="A185" s="39" t="s">
        <v>183</v>
      </c>
      <c r="B185" s="68" t="s">
        <v>182</v>
      </c>
      <c r="C185" s="38" t="s">
        <v>95</v>
      </c>
      <c r="D185" s="37">
        <f>2912+24+735+7583</f>
        <v>11254</v>
      </c>
      <c r="E185" s="54"/>
      <c r="F185" s="36"/>
      <c r="G185" s="54"/>
    </row>
    <row r="186" spans="1:7" s="26" customFormat="1" ht="56.25">
      <c r="A186" s="39" t="s">
        <v>247</v>
      </c>
      <c r="B186" s="68" t="s">
        <v>246</v>
      </c>
      <c r="C186" s="38" t="s">
        <v>95</v>
      </c>
      <c r="D186" s="37">
        <v>38398</v>
      </c>
      <c r="E186" s="54"/>
      <c r="F186" s="36"/>
      <c r="G186" s="54"/>
    </row>
    <row r="187" spans="1:7" s="26" customFormat="1" ht="75">
      <c r="A187" s="39" t="s">
        <v>245</v>
      </c>
      <c r="B187" s="68" t="s">
        <v>244</v>
      </c>
      <c r="C187" s="38" t="s">
        <v>95</v>
      </c>
      <c r="D187" s="37">
        <f>5000+40267-3329-2815-28147+8893+17000-9051-500+3333+1178+8482+27813-18361</f>
        <v>49763</v>
      </c>
      <c r="E187" s="54"/>
      <c r="F187" s="36"/>
      <c r="G187" s="54"/>
    </row>
    <row r="188" spans="1:7" s="26" customFormat="1" ht="18.75">
      <c r="A188" s="39" t="s">
        <v>243</v>
      </c>
      <c r="B188" s="38" t="s">
        <v>242</v>
      </c>
      <c r="C188" s="38" t="s">
        <v>95</v>
      </c>
      <c r="D188" s="37">
        <f>50+20+11</f>
        <v>81</v>
      </c>
      <c r="E188" s="54"/>
      <c r="F188" s="36"/>
      <c r="G188" s="54"/>
    </row>
    <row r="189" spans="1:7" s="26" customFormat="1" ht="37.5">
      <c r="A189" s="39" t="s">
        <v>241</v>
      </c>
      <c r="B189" s="38" t="s">
        <v>240</v>
      </c>
      <c r="C189" s="38" t="s">
        <v>95</v>
      </c>
      <c r="D189" s="37">
        <v>36830</v>
      </c>
      <c r="E189" s="54"/>
      <c r="F189" s="36"/>
      <c r="G189" s="54"/>
    </row>
    <row r="190" spans="1:7" s="26" customFormat="1" ht="37.5">
      <c r="A190" s="39" t="s">
        <v>239</v>
      </c>
      <c r="B190" s="38" t="s">
        <v>238</v>
      </c>
      <c r="C190" s="38" t="s">
        <v>95</v>
      </c>
      <c r="D190" s="37">
        <f>458-23</f>
        <v>435</v>
      </c>
      <c r="E190" s="54"/>
      <c r="F190" s="36"/>
      <c r="G190" s="54"/>
    </row>
    <row r="191" spans="1:7" s="26" customFormat="1" ht="56.25">
      <c r="A191" s="39" t="s">
        <v>237</v>
      </c>
      <c r="B191" s="38" t="s">
        <v>236</v>
      </c>
      <c r="C191" s="38" t="s">
        <v>95</v>
      </c>
      <c r="D191" s="37">
        <f>800-80</f>
        <v>720</v>
      </c>
      <c r="E191" s="54"/>
      <c r="F191" s="36"/>
      <c r="G191" s="54"/>
    </row>
    <row r="192" spans="1:7" s="26" customFormat="1" ht="56.25">
      <c r="A192" s="39" t="s">
        <v>181</v>
      </c>
      <c r="B192" s="38" t="s">
        <v>180</v>
      </c>
      <c r="C192" s="38" t="s">
        <v>95</v>
      </c>
      <c r="D192" s="37">
        <f>3000+4000-581+1400+4000-1782-940+10000+18000+4900</f>
        <v>41997</v>
      </c>
      <c r="E192" s="54"/>
      <c r="F192" s="36"/>
      <c r="G192" s="54"/>
    </row>
    <row r="193" spans="1:7" s="26" customFormat="1" ht="112.5">
      <c r="A193" s="39" t="s">
        <v>235</v>
      </c>
      <c r="B193" s="38" t="s">
        <v>234</v>
      </c>
      <c r="C193" s="38" t="s">
        <v>95</v>
      </c>
      <c r="D193" s="37">
        <f>1700-80-93</f>
        <v>1527</v>
      </c>
      <c r="E193" s="54"/>
      <c r="F193" s="36"/>
      <c r="G193" s="54"/>
    </row>
    <row r="194" spans="1:7" s="26" customFormat="1" ht="37.5">
      <c r="A194" s="39" t="s">
        <v>233</v>
      </c>
      <c r="B194" s="38" t="s">
        <v>232</v>
      </c>
      <c r="C194" s="38" t="s">
        <v>95</v>
      </c>
      <c r="D194" s="37">
        <f>100+23+10+489+19</f>
        <v>641</v>
      </c>
      <c r="E194" s="54"/>
      <c r="F194" s="36"/>
      <c r="G194" s="54"/>
    </row>
    <row r="195" spans="1:7" s="26" customFormat="1" ht="37.5">
      <c r="A195" s="39" t="s">
        <v>231</v>
      </c>
      <c r="B195" s="38" t="s">
        <v>230</v>
      </c>
      <c r="C195" s="38" t="s">
        <v>95</v>
      </c>
      <c r="D195" s="37">
        <f>484+532</f>
        <v>1016</v>
      </c>
      <c r="E195" s="54"/>
      <c r="F195" s="36"/>
      <c r="G195" s="54"/>
    </row>
    <row r="196" spans="1:7" s="26" customFormat="1" ht="37.5">
      <c r="A196" s="39" t="s">
        <v>229</v>
      </c>
      <c r="B196" s="38" t="s">
        <v>228</v>
      </c>
      <c r="C196" s="38" t="s">
        <v>95</v>
      </c>
      <c r="D196" s="37">
        <v>898</v>
      </c>
      <c r="E196" s="54"/>
      <c r="F196" s="36"/>
      <c r="G196" s="54"/>
    </row>
    <row r="197" spans="1:7" s="26" customFormat="1" ht="18.75">
      <c r="A197" s="39" t="s">
        <v>73</v>
      </c>
      <c r="B197" s="38" t="s">
        <v>72</v>
      </c>
      <c r="C197" s="38" t="s">
        <v>95</v>
      </c>
      <c r="D197" s="37">
        <f>4704+4700-4700+4700-4552+8736</f>
        <v>13588</v>
      </c>
      <c r="E197" s="54"/>
      <c r="F197" s="36"/>
      <c r="G197" s="54"/>
    </row>
    <row r="198" spans="1:7" s="26" customFormat="1" ht="37.5">
      <c r="A198" s="39" t="s">
        <v>101</v>
      </c>
      <c r="B198" s="38" t="s">
        <v>100</v>
      </c>
      <c r="C198" s="38" t="s">
        <v>95</v>
      </c>
      <c r="D198" s="55">
        <f>40000+10931+193+250+292+4000-1000+2873+50000-50262</f>
        <v>57277</v>
      </c>
      <c r="E198" s="54"/>
      <c r="F198" s="36"/>
      <c r="G198" s="54"/>
    </row>
    <row r="199" spans="1:7" s="26" customFormat="1" ht="56.25">
      <c r="A199" s="39" t="s">
        <v>227</v>
      </c>
      <c r="B199" s="38" t="s">
        <v>226</v>
      </c>
      <c r="C199" s="38" t="s">
        <v>95</v>
      </c>
      <c r="D199" s="55">
        <f>17000+22700</f>
        <v>39700</v>
      </c>
      <c r="E199" s="54"/>
      <c r="F199" s="36"/>
      <c r="G199" s="54"/>
    </row>
    <row r="200" spans="1:7" s="26" customFormat="1" ht="37.5">
      <c r="A200" s="39" t="s">
        <v>225</v>
      </c>
      <c r="B200" s="38" t="s">
        <v>224</v>
      </c>
      <c r="C200" s="38" t="s">
        <v>95</v>
      </c>
      <c r="D200" s="37">
        <f>1000-280</f>
        <v>720</v>
      </c>
      <c r="E200" s="54"/>
      <c r="F200" s="36"/>
      <c r="G200" s="54"/>
    </row>
    <row r="201" spans="1:7" s="26" customFormat="1" ht="18.75">
      <c r="A201" s="39" t="s">
        <v>223</v>
      </c>
      <c r="B201" s="38" t="s">
        <v>222</v>
      </c>
      <c r="C201" s="38" t="s">
        <v>95</v>
      </c>
      <c r="D201" s="55">
        <f>14900-11</f>
        <v>14889</v>
      </c>
      <c r="E201" s="54"/>
      <c r="F201" s="36"/>
      <c r="G201" s="54"/>
    </row>
    <row r="202" spans="1:7" s="26" customFormat="1" ht="18.75">
      <c r="A202" s="39" t="s">
        <v>221</v>
      </c>
      <c r="B202" s="68" t="s">
        <v>220</v>
      </c>
      <c r="C202" s="38" t="s">
        <v>95</v>
      </c>
      <c r="D202" s="37">
        <f>5500-1265</f>
        <v>4235</v>
      </c>
      <c r="E202" s="54"/>
      <c r="F202" s="36"/>
      <c r="G202" s="54"/>
    </row>
    <row r="203" spans="1:7" s="26" customFormat="1" ht="56.25">
      <c r="A203" s="39" t="s">
        <v>219</v>
      </c>
      <c r="B203" s="68" t="s">
        <v>218</v>
      </c>
      <c r="C203" s="38" t="s">
        <v>95</v>
      </c>
      <c r="D203" s="37">
        <v>1338</v>
      </c>
      <c r="E203" s="54"/>
      <c r="F203" s="36"/>
      <c r="G203" s="54"/>
    </row>
    <row r="204" spans="1:7" s="26" customFormat="1" ht="18.75">
      <c r="A204" s="39" t="s">
        <v>92</v>
      </c>
      <c r="B204" s="68" t="s">
        <v>91</v>
      </c>
      <c r="C204" s="38" t="s">
        <v>95</v>
      </c>
      <c r="D204" s="37">
        <v>950</v>
      </c>
      <c r="E204" s="54"/>
      <c r="F204" s="36"/>
      <c r="G204" s="54"/>
    </row>
    <row r="205" spans="1:7" s="26" customFormat="1" ht="18.75">
      <c r="A205" s="39" t="s">
        <v>97</v>
      </c>
      <c r="B205" s="38" t="s">
        <v>96</v>
      </c>
      <c r="C205" s="38" t="s">
        <v>95</v>
      </c>
      <c r="D205" s="37">
        <f>60000-2912-5000-15137+2232+1221+20500-1534-1000-800-3343-159-42-18+7693+5559+13695+50000-50000</f>
        <v>80955</v>
      </c>
      <c r="E205" s="54"/>
      <c r="F205" s="36"/>
      <c r="G205" s="54"/>
    </row>
    <row r="206" spans="1:7" s="26" customFormat="1" ht="37.5">
      <c r="A206" s="39" t="s">
        <v>71</v>
      </c>
      <c r="B206" s="38" t="s">
        <v>70</v>
      </c>
      <c r="C206" s="38" t="s">
        <v>95</v>
      </c>
      <c r="D206" s="37">
        <f>9050-1050+1275+1889+5156</f>
        <v>16320</v>
      </c>
      <c r="E206" s="54"/>
      <c r="F206" s="36"/>
      <c r="G206" s="54"/>
    </row>
    <row r="207" spans="1:7" s="26" customFormat="1" ht="56.25">
      <c r="A207" s="39" t="s">
        <v>217</v>
      </c>
      <c r="B207" s="38" t="s">
        <v>216</v>
      </c>
      <c r="C207" s="38" t="s">
        <v>95</v>
      </c>
      <c r="D207" s="37">
        <f>90000-18101-2232-4000-1221-4446-2832</f>
        <v>57168</v>
      </c>
      <c r="E207" s="54"/>
      <c r="F207" s="36"/>
      <c r="G207" s="54"/>
    </row>
    <row r="208" spans="1:7" s="26" customFormat="1" ht="18.75">
      <c r="A208" s="67" t="s">
        <v>215</v>
      </c>
      <c r="B208" s="59"/>
      <c r="C208" s="38" t="s">
        <v>95</v>
      </c>
      <c r="D208" s="37">
        <v>9098</v>
      </c>
      <c r="E208" s="54"/>
      <c r="F208" s="36"/>
      <c r="G208" s="54"/>
    </row>
    <row r="209" spans="1:7" s="26" customFormat="1" ht="18.75">
      <c r="A209" s="109" t="s">
        <v>191</v>
      </c>
      <c r="B209" s="110"/>
      <c r="C209" s="38" t="s">
        <v>95</v>
      </c>
      <c r="D209" s="37">
        <v>40267</v>
      </c>
      <c r="E209" s="54"/>
      <c r="F209" s="36"/>
      <c r="G209" s="54"/>
    </row>
    <row r="210" spans="1:7" ht="18.75">
      <c r="A210" s="96" t="s">
        <v>62</v>
      </c>
      <c r="B210" s="97"/>
      <c r="C210" s="98"/>
      <c r="D210" s="37">
        <f>SUM(D176:D209)</f>
        <v>1428667</v>
      </c>
      <c r="E210" s="66"/>
      <c r="F210" s="65"/>
      <c r="G210" s="35"/>
    </row>
    <row r="211" spans="1:7" ht="18.75">
      <c r="A211" s="101" t="s">
        <v>214</v>
      </c>
      <c r="B211" s="102"/>
      <c r="C211" s="102"/>
      <c r="D211" s="53"/>
      <c r="E211" s="52"/>
      <c r="F211" s="51"/>
      <c r="G211" s="50"/>
    </row>
    <row r="212" spans="1:7" ht="18.75">
      <c r="A212" s="94" t="s">
        <v>202</v>
      </c>
      <c r="B212" s="95"/>
      <c r="C212" s="95"/>
      <c r="D212" s="43"/>
      <c r="E212" s="42"/>
      <c r="F212" s="41"/>
      <c r="G212" s="40"/>
    </row>
    <row r="213" spans="1:7" ht="37.5">
      <c r="A213" s="39" t="s">
        <v>213</v>
      </c>
      <c r="B213" s="38" t="s">
        <v>212</v>
      </c>
      <c r="C213" s="38">
        <v>2271</v>
      </c>
      <c r="D213" s="37">
        <v>7000</v>
      </c>
      <c r="E213" s="35"/>
      <c r="F213" s="36"/>
      <c r="G213" s="35"/>
    </row>
    <row r="214" spans="1:7" ht="18.75">
      <c r="A214" s="96" t="s">
        <v>62</v>
      </c>
      <c r="B214" s="97"/>
      <c r="C214" s="98"/>
      <c r="D214" s="37">
        <f>SUM(D213)</f>
        <v>7000</v>
      </c>
      <c r="E214" s="35"/>
      <c r="F214" s="36"/>
      <c r="G214" s="35"/>
    </row>
    <row r="215" spans="1:7" ht="18.75">
      <c r="A215" s="101" t="s">
        <v>211</v>
      </c>
      <c r="B215" s="102"/>
      <c r="C215" s="102"/>
      <c r="D215" s="53"/>
      <c r="E215" s="52"/>
      <c r="F215" s="51"/>
      <c r="G215" s="50"/>
    </row>
    <row r="216" spans="1:7" ht="18.75">
      <c r="A216" s="94" t="s">
        <v>210</v>
      </c>
      <c r="B216" s="95"/>
      <c r="C216" s="95"/>
      <c r="D216" s="43"/>
      <c r="E216" s="42"/>
      <c r="F216" s="41"/>
      <c r="G216" s="40"/>
    </row>
    <row r="217" spans="1:7" ht="32.25">
      <c r="A217" s="39" t="s">
        <v>209</v>
      </c>
      <c r="B217" s="38" t="s">
        <v>208</v>
      </c>
      <c r="C217" s="38">
        <v>2272</v>
      </c>
      <c r="D217" s="37">
        <v>91500</v>
      </c>
      <c r="E217" s="35"/>
      <c r="F217" s="36"/>
      <c r="G217" s="64" t="s">
        <v>204</v>
      </c>
    </row>
    <row r="218" spans="1:7" ht="32.25">
      <c r="A218" s="39" t="s">
        <v>207</v>
      </c>
      <c r="B218" s="38" t="s">
        <v>206</v>
      </c>
      <c r="C218" s="38" t="s">
        <v>205</v>
      </c>
      <c r="D218" s="37">
        <v>91500</v>
      </c>
      <c r="E218" s="35"/>
      <c r="F218" s="36"/>
      <c r="G218" s="64" t="s">
        <v>204</v>
      </c>
    </row>
    <row r="219" spans="1:7" ht="32.25">
      <c r="A219" s="96" t="s">
        <v>62</v>
      </c>
      <c r="B219" s="97"/>
      <c r="C219" s="98"/>
      <c r="D219" s="37">
        <f>SUM(D217:D218)</f>
        <v>183000</v>
      </c>
      <c r="E219" s="35"/>
      <c r="F219" s="36"/>
      <c r="G219" s="64" t="s">
        <v>203</v>
      </c>
    </row>
    <row r="220" spans="1:7" s="27" customFormat="1" ht="18.75">
      <c r="A220" s="101" t="s">
        <v>94</v>
      </c>
      <c r="B220" s="102"/>
      <c r="C220" s="102"/>
      <c r="D220" s="53"/>
      <c r="E220" s="52"/>
      <c r="F220" s="51"/>
      <c r="G220" s="50"/>
    </row>
    <row r="221" spans="1:7" s="27" customFormat="1" ht="18.75">
      <c r="A221" s="91"/>
      <c r="B221" s="92"/>
      <c r="C221" s="92"/>
      <c r="D221" s="49"/>
      <c r="F221" s="28"/>
      <c r="G221" s="46"/>
    </row>
    <row r="222" spans="1:7" s="27" customFormat="1" ht="18.75">
      <c r="A222" s="94" t="s">
        <v>202</v>
      </c>
      <c r="B222" s="95"/>
      <c r="C222" s="95"/>
      <c r="D222" s="43"/>
      <c r="E222" s="42"/>
      <c r="F222" s="41"/>
      <c r="G222" s="40"/>
    </row>
    <row r="223" spans="1:7" ht="18.75">
      <c r="A223" s="39" t="s">
        <v>92</v>
      </c>
      <c r="B223" s="38" t="s">
        <v>91</v>
      </c>
      <c r="C223" s="38" t="s">
        <v>90</v>
      </c>
      <c r="D223" s="37">
        <v>7000</v>
      </c>
      <c r="E223" s="35"/>
      <c r="F223" s="36"/>
      <c r="G223" s="35"/>
    </row>
    <row r="224" spans="1:7" ht="18.75">
      <c r="A224" s="63"/>
      <c r="B224" s="62"/>
      <c r="C224" s="59" t="s">
        <v>62</v>
      </c>
      <c r="D224" s="37">
        <f>SUM(D223)</f>
        <v>7000</v>
      </c>
      <c r="E224" s="35"/>
      <c r="F224" s="36"/>
      <c r="G224" s="35"/>
    </row>
    <row r="225" spans="1:7" ht="18.75" customHeight="1">
      <c r="A225" s="101" t="s">
        <v>166</v>
      </c>
      <c r="B225" s="102"/>
      <c r="C225" s="102"/>
      <c r="D225" s="52"/>
      <c r="E225" s="52"/>
      <c r="F225" s="52"/>
      <c r="G225" s="50"/>
    </row>
    <row r="226" spans="1:7" ht="18.75">
      <c r="A226" s="99" t="s">
        <v>170</v>
      </c>
      <c r="B226" s="100"/>
      <c r="C226" s="100"/>
      <c r="D226" s="48"/>
      <c r="E226" s="27"/>
      <c r="F226" s="27"/>
      <c r="G226" s="46"/>
    </row>
    <row r="227" spans="1:7" s="27" customFormat="1" ht="18.75" hidden="1">
      <c r="A227" s="103" t="s">
        <v>201</v>
      </c>
      <c r="B227" s="104"/>
      <c r="C227" s="104"/>
      <c r="D227" s="57"/>
      <c r="E227" s="57"/>
      <c r="G227" s="56"/>
    </row>
    <row r="228" spans="1:7" s="27" customFormat="1" ht="18.75" hidden="1">
      <c r="A228" s="103" t="s">
        <v>200</v>
      </c>
      <c r="B228" s="104"/>
      <c r="C228" s="104"/>
      <c r="D228" s="57"/>
      <c r="E228" s="57"/>
      <c r="G228" s="56"/>
    </row>
    <row r="229" spans="1:7" s="27" customFormat="1" ht="18.75" hidden="1">
      <c r="A229" s="103" t="s">
        <v>199</v>
      </c>
      <c r="B229" s="104"/>
      <c r="C229" s="104"/>
      <c r="D229" s="57"/>
      <c r="E229" s="57"/>
      <c r="G229" s="56"/>
    </row>
    <row r="230" spans="1:7" ht="18.75">
      <c r="A230" s="94" t="s">
        <v>198</v>
      </c>
      <c r="B230" s="95"/>
      <c r="C230" s="95"/>
      <c r="D230" s="27"/>
      <c r="E230" s="27"/>
      <c r="F230" s="27"/>
      <c r="G230" s="40"/>
    </row>
    <row r="231" spans="1:7" ht="56.25">
      <c r="A231" s="39" t="s">
        <v>197</v>
      </c>
      <c r="B231" s="38" t="s">
        <v>196</v>
      </c>
      <c r="C231" s="60">
        <v>2210</v>
      </c>
      <c r="D231" s="55">
        <v>500</v>
      </c>
      <c r="E231" s="35"/>
      <c r="F231" s="36"/>
      <c r="G231" s="35"/>
    </row>
    <row r="232" spans="1:7" ht="37.5">
      <c r="A232" s="39" t="s">
        <v>195</v>
      </c>
      <c r="B232" s="38" t="s">
        <v>194</v>
      </c>
      <c r="C232" s="60">
        <v>2210</v>
      </c>
      <c r="D232" s="55">
        <v>1820</v>
      </c>
      <c r="E232" s="35"/>
      <c r="F232" s="36"/>
      <c r="G232" s="35"/>
    </row>
    <row r="233" spans="1:7" ht="37.5">
      <c r="A233" s="39" t="s">
        <v>80</v>
      </c>
      <c r="B233" s="38" t="s">
        <v>79</v>
      </c>
      <c r="C233" s="60">
        <v>2210</v>
      </c>
      <c r="D233" s="55">
        <v>599</v>
      </c>
      <c r="E233" s="35"/>
      <c r="F233" s="36"/>
      <c r="G233" s="35"/>
    </row>
    <row r="234" spans="1:7" ht="18.75">
      <c r="A234" s="39" t="s">
        <v>116</v>
      </c>
      <c r="B234" s="38" t="s">
        <v>115</v>
      </c>
      <c r="C234" s="60">
        <v>2210</v>
      </c>
      <c r="D234" s="55">
        <f>39770-2340-500-21139-15650</f>
        <v>141</v>
      </c>
      <c r="E234" s="35"/>
      <c r="F234" s="36"/>
      <c r="G234" s="35"/>
    </row>
    <row r="235" spans="1:7" ht="93.75">
      <c r="A235" s="39" t="s">
        <v>193</v>
      </c>
      <c r="B235" s="59" t="s">
        <v>192</v>
      </c>
      <c r="C235" s="60">
        <v>2210</v>
      </c>
      <c r="D235" s="55">
        <f>520+540</f>
        <v>1060</v>
      </c>
      <c r="E235" s="35"/>
      <c r="F235" s="36"/>
      <c r="G235" s="35"/>
    </row>
    <row r="236" spans="1:7" s="26" customFormat="1" ht="18.75" customHeight="1">
      <c r="A236" s="109" t="s">
        <v>191</v>
      </c>
      <c r="B236" s="110"/>
      <c r="C236" s="38" t="s">
        <v>112</v>
      </c>
      <c r="D236" s="37">
        <v>230</v>
      </c>
      <c r="E236" s="54"/>
      <c r="F236" s="36"/>
      <c r="G236" s="54"/>
    </row>
    <row r="237" spans="1:7" ht="18.75">
      <c r="A237" s="96" t="s">
        <v>62</v>
      </c>
      <c r="B237" s="97"/>
      <c r="C237" s="98"/>
      <c r="D237" s="37">
        <f>SUM(D231:D236)</f>
        <v>4350</v>
      </c>
      <c r="E237" s="35"/>
      <c r="F237" s="36"/>
      <c r="G237" s="35"/>
    </row>
    <row r="238" spans="1:7" ht="24.75" customHeight="1">
      <c r="A238" s="105" t="s">
        <v>111</v>
      </c>
      <c r="B238" s="106"/>
      <c r="C238" s="106"/>
      <c r="D238" s="58"/>
      <c r="E238" s="27"/>
      <c r="F238" s="27"/>
      <c r="G238" s="46"/>
    </row>
    <row r="239" spans="1:7" ht="18.75">
      <c r="A239" s="99" t="s">
        <v>170</v>
      </c>
      <c r="B239" s="100"/>
      <c r="C239" s="100"/>
      <c r="D239" s="48"/>
      <c r="E239" s="27"/>
      <c r="F239" s="27"/>
      <c r="G239" s="46"/>
    </row>
    <row r="240" spans="1:7" s="27" customFormat="1" ht="18.75" hidden="1">
      <c r="A240" s="103" t="s">
        <v>190</v>
      </c>
      <c r="B240" s="104"/>
      <c r="C240" s="104"/>
      <c r="D240" s="57"/>
      <c r="E240" s="57"/>
      <c r="G240" s="56"/>
    </row>
    <row r="241" spans="1:7" s="27" customFormat="1" ht="18.75" hidden="1">
      <c r="A241" s="103" t="s">
        <v>189</v>
      </c>
      <c r="B241" s="104"/>
      <c r="C241" s="104"/>
      <c r="D241" s="57"/>
      <c r="E241" s="57"/>
      <c r="G241" s="56"/>
    </row>
    <row r="242" spans="1:7" s="27" customFormat="1" ht="18.75" hidden="1">
      <c r="A242" s="103" t="s">
        <v>188</v>
      </c>
      <c r="B242" s="104"/>
      <c r="C242" s="104"/>
      <c r="D242" s="57"/>
      <c r="E242" s="57"/>
      <c r="G242" s="56"/>
    </row>
    <row r="243" spans="1:7" s="27" customFormat="1" ht="18.75" hidden="1">
      <c r="A243" s="103" t="s">
        <v>187</v>
      </c>
      <c r="B243" s="104"/>
      <c r="C243" s="104"/>
      <c r="D243" s="57"/>
      <c r="E243" s="57"/>
      <c r="G243" s="56"/>
    </row>
    <row r="244" spans="1:7" ht="18.75">
      <c r="A244" s="107" t="s">
        <v>186</v>
      </c>
      <c r="B244" s="108"/>
      <c r="C244" s="108"/>
      <c r="D244" s="61"/>
      <c r="E244" s="42"/>
      <c r="F244" s="41"/>
      <c r="G244" s="40"/>
    </row>
    <row r="245" spans="1:7" s="26" customFormat="1" ht="56.25">
      <c r="A245" s="39" t="s">
        <v>109</v>
      </c>
      <c r="B245" s="38" t="s">
        <v>108</v>
      </c>
      <c r="C245" s="38">
        <v>2240</v>
      </c>
      <c r="D245" s="37">
        <v>3095</v>
      </c>
      <c r="E245" s="54"/>
      <c r="F245" s="36"/>
      <c r="G245" s="54"/>
    </row>
    <row r="246" spans="1:7" s="26" customFormat="1" ht="37.5">
      <c r="A246" s="39" t="s">
        <v>185</v>
      </c>
      <c r="B246" s="38" t="s">
        <v>184</v>
      </c>
      <c r="C246" s="38" t="s">
        <v>95</v>
      </c>
      <c r="D246" s="37">
        <v>5292</v>
      </c>
      <c r="E246" s="54"/>
      <c r="F246" s="36"/>
      <c r="G246" s="54"/>
    </row>
    <row r="247" spans="1:7" s="26" customFormat="1" ht="18.75">
      <c r="A247" s="39" t="s">
        <v>183</v>
      </c>
      <c r="B247" s="38" t="s">
        <v>182</v>
      </c>
      <c r="C247" s="38" t="s">
        <v>95</v>
      </c>
      <c r="D247" s="37">
        <v>1161</v>
      </c>
      <c r="E247" s="54"/>
      <c r="F247" s="36"/>
      <c r="G247" s="54"/>
    </row>
    <row r="248" spans="1:7" s="26" customFormat="1" ht="18.75">
      <c r="A248" s="39" t="s">
        <v>97</v>
      </c>
      <c r="B248" s="38" t="s">
        <v>96</v>
      </c>
      <c r="C248" s="38" t="s">
        <v>95</v>
      </c>
      <c r="D248" s="37">
        <v>14992</v>
      </c>
      <c r="E248" s="54"/>
      <c r="F248" s="36"/>
      <c r="G248" s="54"/>
    </row>
    <row r="249" spans="1:7" s="26" customFormat="1" ht="56.25">
      <c r="A249" s="39" t="s">
        <v>181</v>
      </c>
      <c r="B249" s="38" t="s">
        <v>180</v>
      </c>
      <c r="C249" s="38" t="s">
        <v>95</v>
      </c>
      <c r="D249" s="37">
        <v>220</v>
      </c>
      <c r="E249" s="54"/>
      <c r="F249" s="36"/>
      <c r="G249" s="54"/>
    </row>
    <row r="250" spans="1:7" s="26" customFormat="1" ht="37.5">
      <c r="A250" s="39" t="s">
        <v>101</v>
      </c>
      <c r="B250" s="38" t="s">
        <v>100</v>
      </c>
      <c r="C250" s="38" t="s">
        <v>95</v>
      </c>
      <c r="D250" s="37">
        <f>18801-1000-14992-500-292</f>
        <v>2017</v>
      </c>
      <c r="E250" s="54"/>
      <c r="F250" s="36"/>
      <c r="G250" s="54"/>
    </row>
    <row r="251" spans="1:7" s="26" customFormat="1" ht="37.5">
      <c r="A251" s="39" t="s">
        <v>71</v>
      </c>
      <c r="B251" s="38" t="s">
        <v>70</v>
      </c>
      <c r="C251" s="38" t="s">
        <v>95</v>
      </c>
      <c r="D251" s="37">
        <f>5000-1161-220</f>
        <v>3619</v>
      </c>
      <c r="E251" s="54"/>
      <c r="F251" s="36"/>
      <c r="G251" s="54"/>
    </row>
    <row r="252" spans="1:7" ht="18.75">
      <c r="A252" s="96" t="s">
        <v>62</v>
      </c>
      <c r="B252" s="97"/>
      <c r="C252" s="98"/>
      <c r="D252" s="37">
        <f>SUM(D245:D251)</f>
        <v>30396</v>
      </c>
      <c r="E252" s="35"/>
      <c r="F252" s="36"/>
      <c r="G252" s="35"/>
    </row>
    <row r="253" spans="1:7" s="27" customFormat="1" ht="18.75">
      <c r="A253" s="101" t="s">
        <v>94</v>
      </c>
      <c r="B253" s="102"/>
      <c r="C253" s="102"/>
      <c r="D253" s="53"/>
      <c r="E253" s="52"/>
      <c r="F253" s="51"/>
      <c r="G253" s="50"/>
    </row>
    <row r="254" spans="1:7" s="27" customFormat="1" ht="18.75">
      <c r="A254" s="91"/>
      <c r="B254" s="92"/>
      <c r="C254" s="92"/>
      <c r="D254" s="49"/>
      <c r="F254" s="28"/>
      <c r="G254" s="46"/>
    </row>
    <row r="255" spans="1:7" ht="18.75">
      <c r="A255" s="99" t="s">
        <v>170</v>
      </c>
      <c r="B255" s="100"/>
      <c r="C255" s="100"/>
      <c r="D255" s="48"/>
      <c r="E255" s="27"/>
      <c r="F255" s="27"/>
      <c r="G255" s="46"/>
    </row>
    <row r="256" spans="1:7" s="27" customFormat="1" ht="18.75" hidden="1">
      <c r="A256" s="103" t="s">
        <v>179</v>
      </c>
      <c r="B256" s="104"/>
      <c r="C256" s="104"/>
      <c r="D256" s="57"/>
      <c r="E256" s="57"/>
      <c r="G256" s="56"/>
    </row>
    <row r="257" spans="1:7" s="27" customFormat="1" ht="18.75" hidden="1">
      <c r="A257" s="103" t="s">
        <v>178</v>
      </c>
      <c r="B257" s="104"/>
      <c r="C257" s="104"/>
      <c r="D257" s="57"/>
      <c r="E257" s="57"/>
      <c r="G257" s="56"/>
    </row>
    <row r="258" spans="1:7" ht="18.75">
      <c r="A258" s="94" t="s">
        <v>177</v>
      </c>
      <c r="B258" s="95"/>
      <c r="C258" s="95"/>
      <c r="D258" s="43"/>
      <c r="E258" s="42"/>
      <c r="F258" s="41"/>
      <c r="G258" s="40"/>
    </row>
    <row r="259" spans="1:7" ht="18.75">
      <c r="A259" s="39" t="s">
        <v>92</v>
      </c>
      <c r="B259" s="38" t="s">
        <v>91</v>
      </c>
      <c r="C259" s="38" t="s">
        <v>90</v>
      </c>
      <c r="D259" s="37">
        <v>5150</v>
      </c>
      <c r="E259" s="35"/>
      <c r="F259" s="36"/>
      <c r="G259" s="35"/>
    </row>
    <row r="260" spans="1:7" ht="18.75">
      <c r="A260" s="96" t="s">
        <v>62</v>
      </c>
      <c r="B260" s="97"/>
      <c r="C260" s="98"/>
      <c r="D260" s="37">
        <f>SUM(D259)</f>
        <v>5150</v>
      </c>
      <c r="E260" s="35"/>
      <c r="F260" s="36"/>
      <c r="G260" s="35"/>
    </row>
    <row r="261" spans="1:7" ht="18.75">
      <c r="A261" s="101" t="s">
        <v>176</v>
      </c>
      <c r="B261" s="102"/>
      <c r="C261" s="102"/>
      <c r="D261" s="53"/>
      <c r="E261" s="52"/>
      <c r="F261" s="51"/>
      <c r="G261" s="50"/>
    </row>
    <row r="262" spans="1:7" ht="18.75">
      <c r="A262" s="99" t="s">
        <v>170</v>
      </c>
      <c r="B262" s="100"/>
      <c r="C262" s="100"/>
      <c r="D262" s="48"/>
      <c r="E262" s="27"/>
      <c r="F262" s="27"/>
      <c r="G262" s="46"/>
    </row>
    <row r="263" spans="1:7" s="27" customFormat="1" ht="18.75" hidden="1">
      <c r="A263" s="103" t="s">
        <v>175</v>
      </c>
      <c r="B263" s="104"/>
      <c r="C263" s="104"/>
      <c r="D263" s="57"/>
      <c r="E263" s="57"/>
      <c r="G263" s="56"/>
    </row>
    <row r="264" spans="1:7" ht="18.75">
      <c r="A264" s="94" t="s">
        <v>174</v>
      </c>
      <c r="B264" s="95"/>
      <c r="C264" s="95"/>
      <c r="D264" s="43"/>
      <c r="E264" s="42"/>
      <c r="F264" s="41"/>
      <c r="G264" s="40"/>
    </row>
    <row r="265" spans="1:7" ht="56.25">
      <c r="A265" s="39" t="s">
        <v>173</v>
      </c>
      <c r="B265" s="38" t="s">
        <v>172</v>
      </c>
      <c r="C265" s="38" t="s">
        <v>171</v>
      </c>
      <c r="D265" s="37">
        <v>1024</v>
      </c>
      <c r="E265" s="35"/>
      <c r="F265" s="36"/>
      <c r="G265" s="35"/>
    </row>
    <row r="266" spans="1:7" ht="18.75">
      <c r="A266" s="96" t="s">
        <v>62</v>
      </c>
      <c r="B266" s="97"/>
      <c r="C266" s="98"/>
      <c r="D266" s="37">
        <f>SUM(D265)</f>
        <v>1024</v>
      </c>
      <c r="E266" s="35"/>
      <c r="F266" s="36"/>
      <c r="G266" s="35"/>
    </row>
    <row r="267" spans="1:7" ht="38.25" customHeight="1">
      <c r="A267" s="101" t="s">
        <v>68</v>
      </c>
      <c r="B267" s="102"/>
      <c r="C267" s="102"/>
      <c r="D267" s="53"/>
      <c r="E267" s="52"/>
      <c r="F267" s="51"/>
      <c r="G267" s="50"/>
    </row>
    <row r="268" spans="1:7" ht="18.75">
      <c r="A268" s="99" t="s">
        <v>170</v>
      </c>
      <c r="B268" s="100"/>
      <c r="C268" s="100"/>
      <c r="D268" s="48"/>
      <c r="E268" s="27"/>
      <c r="F268" s="27"/>
      <c r="G268" s="46"/>
    </row>
    <row r="269" spans="1:7" s="27" customFormat="1" ht="18.75" hidden="1">
      <c r="A269" s="103" t="s">
        <v>169</v>
      </c>
      <c r="B269" s="104"/>
      <c r="C269" s="104"/>
      <c r="D269" s="57"/>
      <c r="E269" s="57"/>
      <c r="G269" s="56"/>
    </row>
    <row r="270" spans="1:7" s="27" customFormat="1" ht="18.75" hidden="1">
      <c r="A270" s="103" t="s">
        <v>168</v>
      </c>
      <c r="B270" s="104"/>
      <c r="C270" s="104"/>
      <c r="D270" s="57"/>
      <c r="E270" s="57"/>
      <c r="G270" s="56"/>
    </row>
    <row r="271" spans="1:7" ht="18.75">
      <c r="A271" s="94" t="s">
        <v>167</v>
      </c>
      <c r="B271" s="95"/>
      <c r="C271" s="95"/>
      <c r="D271" s="43"/>
      <c r="E271" s="42"/>
      <c r="F271" s="41"/>
      <c r="G271" s="40"/>
    </row>
    <row r="272" spans="1:7" ht="75">
      <c r="A272" s="39" t="s">
        <v>83</v>
      </c>
      <c r="B272" s="38" t="s">
        <v>82</v>
      </c>
      <c r="C272" s="38" t="s">
        <v>63</v>
      </c>
      <c r="D272" s="37">
        <v>48190</v>
      </c>
      <c r="E272" s="35"/>
      <c r="F272" s="36"/>
      <c r="G272" s="35"/>
    </row>
    <row r="273" spans="1:7" ht="18.75">
      <c r="A273" s="96" t="s">
        <v>62</v>
      </c>
      <c r="B273" s="97"/>
      <c r="C273" s="98"/>
      <c r="D273" s="37">
        <f>SUM(D272)</f>
        <v>48190</v>
      </c>
      <c r="E273" s="35"/>
      <c r="F273" s="36"/>
      <c r="G273" s="35"/>
    </row>
    <row r="274" spans="1:7" ht="18.75" customHeight="1">
      <c r="A274" s="91" t="s">
        <v>166</v>
      </c>
      <c r="B274" s="92"/>
      <c r="C274" s="92"/>
      <c r="D274" s="27"/>
      <c r="E274" s="27"/>
      <c r="F274" s="27"/>
      <c r="G274" s="46"/>
    </row>
    <row r="275" spans="1:7" ht="18.75">
      <c r="A275" s="99" t="s">
        <v>75</v>
      </c>
      <c r="B275" s="100"/>
      <c r="C275" s="100"/>
      <c r="D275" s="48"/>
      <c r="E275" s="27"/>
      <c r="F275" s="27"/>
      <c r="G275" s="46"/>
    </row>
    <row r="276" spans="1:7" ht="18.75">
      <c r="A276" s="94" t="s">
        <v>165</v>
      </c>
      <c r="B276" s="95"/>
      <c r="C276" s="95"/>
      <c r="D276" s="27"/>
      <c r="E276" s="27"/>
      <c r="F276" s="27"/>
      <c r="G276" s="46"/>
    </row>
    <row r="277" spans="1:7" ht="131.25">
      <c r="A277" s="39" t="s">
        <v>164</v>
      </c>
      <c r="B277" s="38" t="s">
        <v>163</v>
      </c>
      <c r="C277" s="60">
        <v>2210</v>
      </c>
      <c r="D277" s="55">
        <v>20</v>
      </c>
      <c r="E277" s="35"/>
      <c r="F277" s="36"/>
      <c r="G277" s="35"/>
    </row>
    <row r="278" spans="1:7" ht="37.5">
      <c r="A278" s="39" t="s">
        <v>162</v>
      </c>
      <c r="B278" s="38" t="s">
        <v>161</v>
      </c>
      <c r="C278" s="60">
        <v>2210</v>
      </c>
      <c r="D278" s="55">
        <v>2650</v>
      </c>
      <c r="E278" s="35"/>
      <c r="F278" s="36"/>
      <c r="G278" s="35"/>
    </row>
    <row r="279" spans="1:7" ht="18.75">
      <c r="A279" s="39" t="s">
        <v>160</v>
      </c>
      <c r="B279" s="38" t="s">
        <v>159</v>
      </c>
      <c r="C279" s="60">
        <v>2210</v>
      </c>
      <c r="D279" s="55">
        <f>19000-5740-9266-1560-1929</f>
        <v>505</v>
      </c>
      <c r="E279" s="35"/>
      <c r="F279" s="36"/>
      <c r="G279" s="35"/>
    </row>
    <row r="280" spans="1:7" ht="18.75">
      <c r="A280" s="39" t="s">
        <v>158</v>
      </c>
      <c r="B280" s="38" t="s">
        <v>157</v>
      </c>
      <c r="C280" s="60">
        <v>2210</v>
      </c>
      <c r="D280" s="55">
        <v>1560</v>
      </c>
      <c r="E280" s="35"/>
      <c r="F280" s="36"/>
      <c r="G280" s="35"/>
    </row>
    <row r="281" spans="1:7" ht="37.5">
      <c r="A281" s="39" t="s">
        <v>156</v>
      </c>
      <c r="B281" s="38" t="s">
        <v>155</v>
      </c>
      <c r="C281" s="60">
        <v>2210</v>
      </c>
      <c r="D281" s="55">
        <f>405+10048</f>
        <v>10453</v>
      </c>
      <c r="E281" s="35"/>
      <c r="F281" s="36"/>
      <c r="G281" s="35"/>
    </row>
    <row r="282" spans="1:7" ht="18.75">
      <c r="A282" s="39" t="s">
        <v>154</v>
      </c>
      <c r="B282" s="38" t="s">
        <v>153</v>
      </c>
      <c r="C282" s="60">
        <v>2210</v>
      </c>
      <c r="D282" s="55">
        <f>68103-8538-2820-5600-500-10371-33022-1901-5276</f>
        <v>75</v>
      </c>
      <c r="E282" s="35"/>
      <c r="F282" s="36"/>
      <c r="G282" s="35"/>
    </row>
    <row r="283" spans="1:7" ht="37.5">
      <c r="A283" s="39" t="s">
        <v>152</v>
      </c>
      <c r="B283" s="59" t="s">
        <v>151</v>
      </c>
      <c r="C283" s="60">
        <v>2210</v>
      </c>
      <c r="D283" s="55">
        <v>850</v>
      </c>
      <c r="E283" s="35"/>
      <c r="F283" s="36"/>
      <c r="G283" s="35"/>
    </row>
    <row r="284" spans="1:7" ht="18.75">
      <c r="A284" s="39" t="s">
        <v>88</v>
      </c>
      <c r="B284" s="59" t="s">
        <v>87</v>
      </c>
      <c r="C284" s="60">
        <v>2210</v>
      </c>
      <c r="D284" s="55">
        <v>471</v>
      </c>
      <c r="E284" s="35"/>
      <c r="F284" s="36"/>
      <c r="G284" s="35"/>
    </row>
    <row r="285" spans="1:7" s="26" customFormat="1" ht="18" customHeight="1">
      <c r="A285" s="39" t="s">
        <v>150</v>
      </c>
      <c r="B285" s="38" t="s">
        <v>149</v>
      </c>
      <c r="C285" s="38" t="s">
        <v>112</v>
      </c>
      <c r="D285" s="37">
        <v>75</v>
      </c>
      <c r="E285" s="54"/>
      <c r="F285" s="36"/>
      <c r="G285" s="54"/>
    </row>
    <row r="286" spans="1:7" s="26" customFormat="1" ht="37.5">
      <c r="A286" s="39" t="s">
        <v>148</v>
      </c>
      <c r="B286" s="38" t="s">
        <v>147</v>
      </c>
      <c r="C286" s="59" t="s">
        <v>112</v>
      </c>
      <c r="D286" s="37">
        <v>3915</v>
      </c>
      <c r="E286" s="54"/>
      <c r="F286" s="36"/>
      <c r="G286" s="54"/>
    </row>
    <row r="287" spans="1:7" s="26" customFormat="1" ht="18" customHeight="1">
      <c r="A287" s="39" t="s">
        <v>146</v>
      </c>
      <c r="B287" s="38" t="s">
        <v>145</v>
      </c>
      <c r="C287" s="59" t="s">
        <v>112</v>
      </c>
      <c r="D287" s="37">
        <v>2299</v>
      </c>
      <c r="E287" s="54"/>
      <c r="F287" s="36"/>
      <c r="G287" s="54"/>
    </row>
    <row r="288" spans="1:7" s="26" customFormat="1" ht="56.25">
      <c r="A288" s="39" t="s">
        <v>144</v>
      </c>
      <c r="B288" s="38" t="s">
        <v>143</v>
      </c>
      <c r="C288" s="59" t="s">
        <v>112</v>
      </c>
      <c r="D288" s="37">
        <v>150</v>
      </c>
      <c r="E288" s="54"/>
      <c r="F288" s="36"/>
      <c r="G288" s="54"/>
    </row>
    <row r="289" spans="1:7" s="26" customFormat="1" ht="18.75">
      <c r="A289" s="39" t="s">
        <v>142</v>
      </c>
      <c r="B289" s="38" t="s">
        <v>141</v>
      </c>
      <c r="C289" s="59" t="s">
        <v>112</v>
      </c>
      <c r="D289" s="37">
        <v>21</v>
      </c>
      <c r="E289" s="54"/>
      <c r="F289" s="36"/>
      <c r="G289" s="54"/>
    </row>
    <row r="290" spans="1:7" s="26" customFormat="1" ht="18.75" customHeight="1">
      <c r="A290" s="39" t="s">
        <v>140</v>
      </c>
      <c r="B290" s="38" t="s">
        <v>139</v>
      </c>
      <c r="C290" s="59" t="s">
        <v>112</v>
      </c>
      <c r="D290" s="37">
        <f>1550+5600+500-3463-1549</f>
        <v>2638</v>
      </c>
      <c r="E290" s="54"/>
      <c r="F290" s="36"/>
      <c r="G290" s="54"/>
    </row>
    <row r="291" spans="1:7" s="26" customFormat="1" ht="37.5">
      <c r="A291" s="39" t="s">
        <v>138</v>
      </c>
      <c r="B291" s="38" t="s">
        <v>137</v>
      </c>
      <c r="C291" s="59" t="s">
        <v>112</v>
      </c>
      <c r="D291" s="37">
        <v>3850</v>
      </c>
      <c r="E291" s="54"/>
      <c r="F291" s="36"/>
      <c r="G291" s="54"/>
    </row>
    <row r="292" spans="1:7" s="26" customFormat="1" ht="56.25">
      <c r="A292" s="39" t="s">
        <v>136</v>
      </c>
      <c r="B292" s="38" t="s">
        <v>135</v>
      </c>
      <c r="C292" s="59" t="s">
        <v>112</v>
      </c>
      <c r="D292" s="37">
        <f>9600</f>
        <v>9600</v>
      </c>
      <c r="E292" s="54"/>
      <c r="F292" s="36"/>
      <c r="G292" s="54"/>
    </row>
    <row r="293" spans="1:7" s="26" customFormat="1" ht="56.25">
      <c r="A293" s="39" t="s">
        <v>134</v>
      </c>
      <c r="B293" s="38" t="s">
        <v>133</v>
      </c>
      <c r="C293" s="59" t="s">
        <v>112</v>
      </c>
      <c r="D293" s="37">
        <v>340</v>
      </c>
      <c r="E293" s="54"/>
      <c r="F293" s="36"/>
      <c r="G293" s="54"/>
    </row>
    <row r="294" spans="1:7" s="26" customFormat="1" ht="56.25">
      <c r="A294" s="39" t="s">
        <v>132</v>
      </c>
      <c r="B294" s="38" t="s">
        <v>131</v>
      </c>
      <c r="C294" s="59" t="s">
        <v>112</v>
      </c>
      <c r="D294" s="37">
        <v>116</v>
      </c>
      <c r="E294" s="54"/>
      <c r="F294" s="36"/>
      <c r="G294" s="54"/>
    </row>
    <row r="295" spans="1:7" s="26" customFormat="1" ht="37.5">
      <c r="A295" s="39" t="s">
        <v>130</v>
      </c>
      <c r="B295" s="38" t="s">
        <v>129</v>
      </c>
      <c r="C295" s="59" t="s">
        <v>112</v>
      </c>
      <c r="D295" s="37">
        <v>271</v>
      </c>
      <c r="E295" s="54"/>
      <c r="F295" s="36"/>
      <c r="G295" s="54"/>
    </row>
    <row r="296" spans="1:7" s="26" customFormat="1" ht="18.75">
      <c r="A296" s="39" t="s">
        <v>128</v>
      </c>
      <c r="B296" s="38" t="s">
        <v>127</v>
      </c>
      <c r="C296" s="59" t="s">
        <v>112</v>
      </c>
      <c r="D296" s="37">
        <v>296</v>
      </c>
      <c r="E296" s="54"/>
      <c r="F296" s="36"/>
      <c r="G296" s="54"/>
    </row>
    <row r="297" spans="1:7" s="26" customFormat="1" ht="37.5">
      <c r="A297" s="39" t="s">
        <v>126</v>
      </c>
      <c r="B297" s="38" t="s">
        <v>125</v>
      </c>
      <c r="C297" s="59" t="s">
        <v>112</v>
      </c>
      <c r="D297" s="37">
        <v>3065</v>
      </c>
      <c r="E297" s="54"/>
      <c r="F297" s="36"/>
      <c r="G297" s="54"/>
    </row>
    <row r="298" spans="1:7" s="26" customFormat="1" ht="37.5">
      <c r="A298" s="39" t="s">
        <v>124</v>
      </c>
      <c r="B298" s="38" t="s">
        <v>123</v>
      </c>
      <c r="C298" s="59" t="s">
        <v>112</v>
      </c>
      <c r="D298" s="37">
        <v>840</v>
      </c>
      <c r="E298" s="54"/>
      <c r="F298" s="36"/>
      <c r="G298" s="54"/>
    </row>
    <row r="299" spans="1:7" s="26" customFormat="1" ht="131.25">
      <c r="A299" s="39" t="s">
        <v>122</v>
      </c>
      <c r="B299" s="38" t="s">
        <v>121</v>
      </c>
      <c r="C299" s="59" t="s">
        <v>112</v>
      </c>
      <c r="D299" s="37">
        <f>9266-8938</f>
        <v>328</v>
      </c>
      <c r="E299" s="54"/>
      <c r="F299" s="36"/>
      <c r="G299" s="54"/>
    </row>
    <row r="300" spans="1:7" s="26" customFormat="1" ht="37.5">
      <c r="A300" s="39" t="s">
        <v>120</v>
      </c>
      <c r="B300" s="38" t="s">
        <v>119</v>
      </c>
      <c r="C300" s="59" t="s">
        <v>112</v>
      </c>
      <c r="D300" s="37">
        <v>625</v>
      </c>
      <c r="E300" s="54"/>
      <c r="F300" s="36"/>
      <c r="G300" s="54"/>
    </row>
    <row r="301" spans="1:7" s="26" customFormat="1" ht="56.25">
      <c r="A301" s="39" t="s">
        <v>118</v>
      </c>
      <c r="B301" s="38" t="s">
        <v>117</v>
      </c>
      <c r="C301" s="59" t="s">
        <v>112</v>
      </c>
      <c r="D301" s="37">
        <v>816</v>
      </c>
      <c r="E301" s="54"/>
      <c r="F301" s="36"/>
      <c r="G301" s="54"/>
    </row>
    <row r="302" spans="1:7" s="26" customFormat="1" ht="18.75">
      <c r="A302" s="39" t="s">
        <v>65</v>
      </c>
      <c r="B302" s="38" t="s">
        <v>81</v>
      </c>
      <c r="C302" s="59" t="s">
        <v>112</v>
      </c>
      <c r="D302" s="37">
        <v>9600</v>
      </c>
      <c r="E302" s="54"/>
      <c r="F302" s="36"/>
      <c r="G302" s="54"/>
    </row>
    <row r="303" spans="1:7" s="26" customFormat="1" ht="37.5">
      <c r="A303" s="39" t="s">
        <v>80</v>
      </c>
      <c r="B303" s="38" t="s">
        <v>79</v>
      </c>
      <c r="C303" s="59" t="s">
        <v>112</v>
      </c>
      <c r="D303" s="37">
        <f>25508+1901</f>
        <v>27409</v>
      </c>
      <c r="E303" s="54"/>
      <c r="F303" s="36"/>
      <c r="G303" s="54"/>
    </row>
    <row r="304" spans="1:7" s="26" customFormat="1" ht="18.75">
      <c r="A304" s="39" t="s">
        <v>116</v>
      </c>
      <c r="B304" s="38" t="s">
        <v>115</v>
      </c>
      <c r="C304" s="59" t="s">
        <v>112</v>
      </c>
      <c r="D304" s="37">
        <v>750</v>
      </c>
      <c r="E304" s="54"/>
      <c r="F304" s="36"/>
      <c r="G304" s="54"/>
    </row>
    <row r="305" spans="1:7" s="26" customFormat="1" ht="56.25">
      <c r="A305" s="39" t="s">
        <v>114</v>
      </c>
      <c r="B305" s="38" t="s">
        <v>113</v>
      </c>
      <c r="C305" s="59" t="s">
        <v>112</v>
      </c>
      <c r="D305" s="37">
        <f>2820+605</f>
        <v>3425</v>
      </c>
      <c r="E305" s="54"/>
      <c r="F305" s="36"/>
      <c r="G305" s="54"/>
    </row>
    <row r="306" spans="1:7" ht="18.75">
      <c r="A306" s="96" t="s">
        <v>62</v>
      </c>
      <c r="B306" s="97"/>
      <c r="C306" s="98"/>
      <c r="D306" s="37">
        <f>SUM(D277:D305)</f>
        <v>87013</v>
      </c>
      <c r="E306" s="35"/>
      <c r="F306" s="36"/>
      <c r="G306" s="35"/>
    </row>
    <row r="307" spans="1:7" ht="18.75">
      <c r="A307" s="105" t="s">
        <v>111</v>
      </c>
      <c r="B307" s="106"/>
      <c r="C307" s="106"/>
      <c r="D307" s="58"/>
      <c r="E307" s="27"/>
      <c r="F307" s="27"/>
      <c r="G307" s="46"/>
    </row>
    <row r="308" spans="1:7" ht="18.75">
      <c r="A308" s="99" t="s">
        <v>75</v>
      </c>
      <c r="B308" s="100"/>
      <c r="C308" s="100"/>
      <c r="D308" s="48"/>
      <c r="E308" s="27"/>
      <c r="F308" s="27"/>
      <c r="G308" s="46"/>
    </row>
    <row r="309" spans="1:7" s="27" customFormat="1" ht="18.75">
      <c r="A309" s="94" t="s">
        <v>110</v>
      </c>
      <c r="B309" s="95"/>
      <c r="C309" s="95"/>
      <c r="D309" s="57"/>
      <c r="E309" s="57"/>
      <c r="G309" s="56"/>
    </row>
    <row r="310" spans="1:7" ht="56.25">
      <c r="A310" s="39" t="s">
        <v>109</v>
      </c>
      <c r="B310" s="38" t="s">
        <v>108</v>
      </c>
      <c r="C310" s="38">
        <v>2240</v>
      </c>
      <c r="D310" s="55">
        <v>1092</v>
      </c>
      <c r="E310" s="35"/>
      <c r="F310" s="36"/>
      <c r="G310" s="35"/>
    </row>
    <row r="311" spans="1:7" ht="56.25">
      <c r="A311" s="39" t="s">
        <v>107</v>
      </c>
      <c r="B311" s="38" t="s">
        <v>106</v>
      </c>
      <c r="C311" s="38">
        <v>2240</v>
      </c>
      <c r="D311" s="55">
        <f>15426-6773+3288+5808-6075-1581</f>
        <v>10093</v>
      </c>
      <c r="E311" s="35"/>
      <c r="F311" s="36"/>
      <c r="G311" s="35"/>
    </row>
    <row r="312" spans="1:7" ht="18.75">
      <c r="A312" s="39" t="s">
        <v>105</v>
      </c>
      <c r="B312" s="38" t="s">
        <v>104</v>
      </c>
      <c r="C312" s="38" t="s">
        <v>95</v>
      </c>
      <c r="D312" s="55">
        <v>1581</v>
      </c>
      <c r="E312" s="35"/>
      <c r="F312" s="36"/>
      <c r="G312" s="35"/>
    </row>
    <row r="313" spans="1:7" ht="37.5">
      <c r="A313" s="39" t="s">
        <v>103</v>
      </c>
      <c r="B313" s="38" t="s">
        <v>102</v>
      </c>
      <c r="C313" s="38" t="s">
        <v>95</v>
      </c>
      <c r="D313" s="55">
        <v>1596</v>
      </c>
      <c r="E313" s="35"/>
      <c r="F313" s="36"/>
      <c r="G313" s="35"/>
    </row>
    <row r="314" spans="1:7" s="26" customFormat="1" ht="37.5">
      <c r="A314" s="39" t="s">
        <v>101</v>
      </c>
      <c r="B314" s="38" t="s">
        <v>100</v>
      </c>
      <c r="C314" s="38" t="s">
        <v>95</v>
      </c>
      <c r="D314" s="55">
        <f>7912-3000+6773+20000+4173</f>
        <v>35858</v>
      </c>
      <c r="E314" s="54"/>
      <c r="F314" s="36"/>
      <c r="G314" s="54"/>
    </row>
    <row r="315" spans="1:7" s="26" customFormat="1" ht="37.5">
      <c r="A315" s="39" t="s">
        <v>99</v>
      </c>
      <c r="B315" s="38" t="s">
        <v>98</v>
      </c>
      <c r="C315" s="38" t="s">
        <v>95</v>
      </c>
      <c r="D315" s="55">
        <v>8416</v>
      </c>
      <c r="E315" s="54"/>
      <c r="F315" s="36"/>
      <c r="G315" s="54"/>
    </row>
    <row r="316" spans="1:7" s="26" customFormat="1" ht="18.75">
      <c r="A316" s="39" t="s">
        <v>97</v>
      </c>
      <c r="B316" s="38" t="s">
        <v>96</v>
      </c>
      <c r="C316" s="38" t="s">
        <v>95</v>
      </c>
      <c r="D316" s="55">
        <v>5808</v>
      </c>
      <c r="E316" s="54"/>
      <c r="F316" s="36"/>
      <c r="G316" s="54"/>
    </row>
    <row r="317" spans="1:7" ht="18.75">
      <c r="A317" s="96" t="s">
        <v>62</v>
      </c>
      <c r="B317" s="97"/>
      <c r="C317" s="98"/>
      <c r="D317" s="37">
        <f>SUM(D310:D316)</f>
        <v>64444</v>
      </c>
      <c r="E317" s="35"/>
      <c r="F317" s="36"/>
      <c r="G317" s="35"/>
    </row>
    <row r="318" spans="1:7" s="27" customFormat="1" ht="18.75">
      <c r="A318" s="101" t="s">
        <v>94</v>
      </c>
      <c r="B318" s="102"/>
      <c r="C318" s="102"/>
      <c r="D318" s="53"/>
      <c r="E318" s="52"/>
      <c r="F318" s="51"/>
      <c r="G318" s="50"/>
    </row>
    <row r="319" spans="1:7" s="27" customFormat="1" ht="18.75">
      <c r="A319" s="91"/>
      <c r="B319" s="92"/>
      <c r="C319" s="92"/>
      <c r="D319" s="49"/>
      <c r="F319" s="28"/>
      <c r="G319" s="46"/>
    </row>
    <row r="320" spans="1:7" ht="18.75">
      <c r="A320" s="99" t="s">
        <v>75</v>
      </c>
      <c r="B320" s="100"/>
      <c r="C320" s="100"/>
      <c r="D320" s="48"/>
      <c r="E320" s="27"/>
      <c r="F320" s="27"/>
      <c r="G320" s="46"/>
    </row>
    <row r="321" spans="1:7" ht="18.75">
      <c r="A321" s="94" t="s">
        <v>93</v>
      </c>
      <c r="B321" s="95"/>
      <c r="C321" s="95"/>
      <c r="D321" s="43"/>
      <c r="E321" s="42"/>
      <c r="F321" s="41"/>
      <c r="G321" s="40"/>
    </row>
    <row r="322" spans="1:7" ht="18.75">
      <c r="A322" s="39" t="s">
        <v>92</v>
      </c>
      <c r="B322" s="38" t="s">
        <v>91</v>
      </c>
      <c r="C322" s="38" t="s">
        <v>90</v>
      </c>
      <c r="D322" s="37">
        <v>1175</v>
      </c>
      <c r="E322" s="35"/>
      <c r="F322" s="36"/>
      <c r="G322" s="35"/>
    </row>
    <row r="323" spans="1:7" ht="18.75">
      <c r="A323" s="96" t="s">
        <v>62</v>
      </c>
      <c r="B323" s="97"/>
      <c r="C323" s="98"/>
      <c r="D323" s="37">
        <f>SUM(D322)</f>
        <v>1175</v>
      </c>
      <c r="E323" s="35"/>
      <c r="F323" s="36"/>
      <c r="G323" s="35"/>
    </row>
    <row r="324" spans="1:7" ht="42" customHeight="1">
      <c r="A324" s="101" t="s">
        <v>68</v>
      </c>
      <c r="B324" s="102"/>
      <c r="C324" s="102"/>
      <c r="D324" s="53"/>
      <c r="E324" s="52"/>
      <c r="F324" s="51"/>
      <c r="G324" s="50"/>
    </row>
    <row r="325" spans="1:7" ht="18.75">
      <c r="A325" s="99" t="s">
        <v>75</v>
      </c>
      <c r="B325" s="100"/>
      <c r="C325" s="100"/>
      <c r="D325" s="48"/>
      <c r="E325" s="27"/>
      <c r="F325" s="27"/>
      <c r="G325" s="46"/>
    </row>
    <row r="326" spans="1:7" ht="18.75">
      <c r="A326" s="94" t="s">
        <v>89</v>
      </c>
      <c r="B326" s="95"/>
      <c r="C326" s="95"/>
      <c r="D326" s="43"/>
      <c r="E326" s="42"/>
      <c r="F326" s="41"/>
      <c r="G326" s="40"/>
    </row>
    <row r="327" spans="1:7" ht="18.75">
      <c r="A327" s="39" t="s">
        <v>88</v>
      </c>
      <c r="B327" s="38" t="s">
        <v>87</v>
      </c>
      <c r="C327" s="38" t="s">
        <v>63</v>
      </c>
      <c r="D327" s="37">
        <v>6186</v>
      </c>
      <c r="E327" s="35"/>
      <c r="F327" s="36"/>
      <c r="G327" s="35"/>
    </row>
    <row r="328" spans="1:7" ht="18.75">
      <c r="A328" s="39" t="s">
        <v>86</v>
      </c>
      <c r="B328" s="38" t="s">
        <v>85</v>
      </c>
      <c r="C328" s="38" t="s">
        <v>63</v>
      </c>
      <c r="D328" s="37">
        <v>2750</v>
      </c>
      <c r="E328" s="35"/>
      <c r="F328" s="36"/>
      <c r="G328" s="35"/>
    </row>
    <row r="329" spans="1:7" ht="37.5">
      <c r="A329" s="39" t="s">
        <v>84</v>
      </c>
      <c r="B329" s="38" t="s">
        <v>64</v>
      </c>
      <c r="C329" s="38" t="s">
        <v>63</v>
      </c>
      <c r="D329" s="37">
        <v>9650</v>
      </c>
      <c r="E329" s="35"/>
      <c r="F329" s="36"/>
      <c r="G329" s="35"/>
    </row>
    <row r="330" spans="1:7" ht="75">
      <c r="A330" s="39" t="s">
        <v>83</v>
      </c>
      <c r="B330" s="38" t="s">
        <v>82</v>
      </c>
      <c r="C330" s="38" t="s">
        <v>63</v>
      </c>
      <c r="D330" s="37">
        <f>940+7850</f>
        <v>8790</v>
      </c>
      <c r="E330" s="35"/>
      <c r="F330" s="36"/>
      <c r="G330" s="35"/>
    </row>
    <row r="331" spans="1:7" ht="18.75">
      <c r="A331" s="39" t="s">
        <v>65</v>
      </c>
      <c r="B331" s="38" t="s">
        <v>81</v>
      </c>
      <c r="C331" s="38" t="s">
        <v>63</v>
      </c>
      <c r="D331" s="37">
        <v>2950</v>
      </c>
      <c r="E331" s="35"/>
      <c r="F331" s="36"/>
      <c r="G331" s="35"/>
    </row>
    <row r="332" spans="1:7" ht="37.5">
      <c r="A332" s="39" t="s">
        <v>80</v>
      </c>
      <c r="B332" s="38" t="s">
        <v>79</v>
      </c>
      <c r="C332" s="38" t="s">
        <v>63</v>
      </c>
      <c r="D332" s="37">
        <f>17741-2850-2750</f>
        <v>12141</v>
      </c>
      <c r="E332" s="35"/>
      <c r="F332" s="36"/>
      <c r="G332" s="35"/>
    </row>
    <row r="333" spans="1:7" ht="75">
      <c r="A333" s="39" t="s">
        <v>78</v>
      </c>
      <c r="B333" s="38" t="s">
        <v>77</v>
      </c>
      <c r="C333" s="38" t="s">
        <v>63</v>
      </c>
      <c r="D333" s="37">
        <v>3565</v>
      </c>
      <c r="E333" s="35"/>
      <c r="F333" s="36"/>
      <c r="G333" s="35"/>
    </row>
    <row r="334" spans="1:7" ht="18.75">
      <c r="A334" s="96" t="s">
        <v>62</v>
      </c>
      <c r="B334" s="97"/>
      <c r="C334" s="98"/>
      <c r="D334" s="37">
        <f>SUM(D327:D333)</f>
        <v>46032</v>
      </c>
      <c r="E334" s="35"/>
      <c r="F334" s="36"/>
      <c r="G334" s="35"/>
    </row>
    <row r="335" spans="1:7" ht="18.75" customHeight="1">
      <c r="A335" s="91" t="s">
        <v>76</v>
      </c>
      <c r="B335" s="92"/>
      <c r="C335" s="92"/>
      <c r="D335" s="27"/>
      <c r="E335" s="27"/>
      <c r="F335" s="27"/>
      <c r="G335" s="46"/>
    </row>
    <row r="336" spans="1:7" ht="18.75">
      <c r="A336" s="99" t="s">
        <v>75</v>
      </c>
      <c r="B336" s="100"/>
      <c r="C336" s="100"/>
      <c r="D336" s="48"/>
      <c r="E336" s="27"/>
      <c r="F336" s="27"/>
      <c r="G336" s="46"/>
    </row>
    <row r="337" spans="1:7" ht="18.75">
      <c r="A337" s="94" t="s">
        <v>74</v>
      </c>
      <c r="B337" s="95"/>
      <c r="C337" s="95"/>
      <c r="D337" s="27"/>
      <c r="E337" s="27"/>
      <c r="F337" s="27"/>
      <c r="G337" s="46"/>
    </row>
    <row r="338" spans="1:7" ht="18.75">
      <c r="A338" s="39" t="s">
        <v>73</v>
      </c>
      <c r="B338" s="38" t="s">
        <v>72</v>
      </c>
      <c r="C338" s="38" t="s">
        <v>69</v>
      </c>
      <c r="D338" s="37">
        <v>5000</v>
      </c>
      <c r="E338" s="35"/>
      <c r="F338" s="36"/>
      <c r="G338" s="35"/>
    </row>
    <row r="339" spans="1:7" ht="37.5">
      <c r="A339" s="39" t="s">
        <v>71</v>
      </c>
      <c r="B339" s="38" t="s">
        <v>70</v>
      </c>
      <c r="C339" s="38" t="s">
        <v>69</v>
      </c>
      <c r="D339" s="37">
        <f>22351-5000</f>
        <v>17351</v>
      </c>
      <c r="E339" s="35"/>
      <c r="F339" s="36"/>
      <c r="G339" s="35"/>
    </row>
    <row r="340" spans="1:7" ht="18.75">
      <c r="A340" s="96" t="s">
        <v>62</v>
      </c>
      <c r="B340" s="97"/>
      <c r="C340" s="98"/>
      <c r="D340" s="37">
        <f>SUM(D338:D339)</f>
        <v>22351</v>
      </c>
      <c r="E340" s="35"/>
      <c r="F340" s="36"/>
      <c r="G340" s="35"/>
    </row>
    <row r="341" spans="1:7" ht="42" customHeight="1">
      <c r="A341" s="91" t="s">
        <v>68</v>
      </c>
      <c r="B341" s="92"/>
      <c r="C341" s="92"/>
      <c r="D341" s="49"/>
      <c r="E341" s="27"/>
      <c r="F341" s="28"/>
      <c r="G341" s="46"/>
    </row>
    <row r="342" spans="1:252" ht="18.75">
      <c r="A342" s="99" t="s">
        <v>67</v>
      </c>
      <c r="B342" s="100"/>
      <c r="C342" s="100"/>
      <c r="D342" s="48"/>
      <c r="E342" s="47"/>
      <c r="F342" s="28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</row>
    <row r="343" spans="1:7" ht="18.75">
      <c r="A343" s="94" t="s">
        <v>66</v>
      </c>
      <c r="B343" s="95"/>
      <c r="C343" s="95"/>
      <c r="D343" s="43"/>
      <c r="E343" s="42"/>
      <c r="F343" s="41"/>
      <c r="G343" s="40"/>
    </row>
    <row r="344" spans="1:7" ht="18.75">
      <c r="A344" s="39" t="s">
        <v>65</v>
      </c>
      <c r="B344" s="38" t="s">
        <v>64</v>
      </c>
      <c r="C344" s="38" t="s">
        <v>63</v>
      </c>
      <c r="D344" s="37">
        <v>154550</v>
      </c>
      <c r="E344" s="35"/>
      <c r="F344" s="36"/>
      <c r="G344" s="35"/>
    </row>
    <row r="345" spans="1:7" ht="18.75">
      <c r="A345" s="96" t="s">
        <v>62</v>
      </c>
      <c r="B345" s="97"/>
      <c r="C345" s="98"/>
      <c r="D345" s="37">
        <f>SUM(D344)</f>
        <v>154550</v>
      </c>
      <c r="E345" s="35"/>
      <c r="F345" s="36"/>
      <c r="G345" s="35"/>
    </row>
    <row r="346" spans="1:7" ht="18.75">
      <c r="A346" s="34"/>
      <c r="B346" s="34"/>
      <c r="C346" s="34"/>
      <c r="D346" s="33"/>
      <c r="E346" s="27"/>
      <c r="F346" s="28"/>
      <c r="G346" s="27"/>
    </row>
    <row r="347" spans="1:7" ht="18.75">
      <c r="A347" s="34"/>
      <c r="B347" s="34"/>
      <c r="C347" s="34"/>
      <c r="D347" s="33"/>
      <c r="E347" s="27"/>
      <c r="F347" s="28"/>
      <c r="G347" s="27"/>
    </row>
    <row r="348" spans="1:7" ht="18.75">
      <c r="A348" s="93" t="s">
        <v>19</v>
      </c>
      <c r="B348" s="93"/>
      <c r="C348" s="32" t="s">
        <v>20</v>
      </c>
      <c r="D348" s="123"/>
      <c r="E348" s="123"/>
      <c r="F348" s="28"/>
      <c r="G348" s="27"/>
    </row>
    <row r="349" spans="1:7" ht="18.75">
      <c r="A349" s="31" t="s">
        <v>7</v>
      </c>
      <c r="B349" s="29"/>
      <c r="C349" s="27"/>
      <c r="D349" s="27"/>
      <c r="E349" s="27"/>
      <c r="F349" s="28"/>
      <c r="G349" s="30"/>
    </row>
    <row r="350" spans="1:7" ht="18.75">
      <c r="A350" s="29"/>
      <c r="B350" s="29"/>
      <c r="C350" s="29"/>
      <c r="D350" s="29"/>
      <c r="E350" s="27"/>
      <c r="F350" s="28"/>
      <c r="G350" s="27"/>
    </row>
  </sheetData>
  <sheetProtection/>
  <mergeCells count="92">
    <mergeCell ref="A242:C242"/>
    <mergeCell ref="A227:C227"/>
    <mergeCell ref="A269:C269"/>
    <mergeCell ref="A240:C240"/>
    <mergeCell ref="A241:C241"/>
    <mergeCell ref="A266:C266"/>
    <mergeCell ref="A263:C263"/>
    <mergeCell ref="A258:C258"/>
    <mergeCell ref="A260:C260"/>
    <mergeCell ref="A317:C317"/>
    <mergeCell ref="A335:C335"/>
    <mergeCell ref="A334:C334"/>
    <mergeCell ref="A325:C325"/>
    <mergeCell ref="A273:C273"/>
    <mergeCell ref="A256:C256"/>
    <mergeCell ref="A172:C172"/>
    <mergeCell ref="A100:B100"/>
    <mergeCell ref="A321:C321"/>
    <mergeCell ref="A175:C175"/>
    <mergeCell ref="A101:C101"/>
    <mergeCell ref="A226:C226"/>
    <mergeCell ref="A257:C257"/>
    <mergeCell ref="A320:C320"/>
    <mergeCell ref="A210:C210"/>
    <mergeCell ref="A267:C267"/>
    <mergeCell ref="D348:E348"/>
    <mergeCell ref="A274:C274"/>
    <mergeCell ref="A268:C268"/>
    <mergeCell ref="A253:C254"/>
    <mergeCell ref="A215:C215"/>
    <mergeCell ref="A214:C214"/>
    <mergeCell ref="A216:C216"/>
    <mergeCell ref="A264:C264"/>
    <mergeCell ref="A262:C262"/>
    <mergeCell ref="A243:C243"/>
    <mergeCell ref="A2:C2"/>
    <mergeCell ref="A9:C9"/>
    <mergeCell ref="A136:C136"/>
    <mergeCell ref="A103:C103"/>
    <mergeCell ref="A11:C11"/>
    <mergeCell ref="A6:B6"/>
    <mergeCell ref="A8:C8"/>
    <mergeCell ref="A1:C1"/>
    <mergeCell ref="A137:C137"/>
    <mergeCell ref="A171:C171"/>
    <mergeCell ref="A7:C7"/>
    <mergeCell ref="A324:C324"/>
    <mergeCell ref="A239:C239"/>
    <mergeCell ref="A3:C3"/>
    <mergeCell ref="A4:C4"/>
    <mergeCell ref="A138:C138"/>
    <mergeCell ref="A5:B5"/>
    <mergeCell ref="A212:C212"/>
    <mergeCell ref="A236:B236"/>
    <mergeCell ref="A230:C230"/>
    <mergeCell ref="A10:C10"/>
    <mergeCell ref="A174:C174"/>
    <mergeCell ref="A211:C211"/>
    <mergeCell ref="A102:C102"/>
    <mergeCell ref="A173:C173"/>
    <mergeCell ref="A209:B209"/>
    <mergeCell ref="A219:C219"/>
    <mergeCell ref="A225:C225"/>
    <mergeCell ref="A220:C221"/>
    <mergeCell ref="A222:C222"/>
    <mergeCell ref="A326:C326"/>
    <mergeCell ref="A306:C306"/>
    <mergeCell ref="A261:C261"/>
    <mergeCell ref="A244:C244"/>
    <mergeCell ref="A252:C252"/>
    <mergeCell ref="A229:C229"/>
    <mergeCell ref="A238:C238"/>
    <mergeCell ref="A237:C237"/>
    <mergeCell ref="A228:C228"/>
    <mergeCell ref="A323:C323"/>
    <mergeCell ref="A309:C309"/>
    <mergeCell ref="A271:C271"/>
    <mergeCell ref="A276:C276"/>
    <mergeCell ref="A308:C308"/>
    <mergeCell ref="A307:C307"/>
    <mergeCell ref="A255:C255"/>
    <mergeCell ref="A270:C270"/>
    <mergeCell ref="A341:C341"/>
    <mergeCell ref="A348:B348"/>
    <mergeCell ref="A337:C337"/>
    <mergeCell ref="A340:C340"/>
    <mergeCell ref="A275:C275"/>
    <mergeCell ref="A318:C319"/>
    <mergeCell ref="A345:C345"/>
    <mergeCell ref="A342:C342"/>
    <mergeCell ref="A343:C343"/>
    <mergeCell ref="A336:C336"/>
  </mergeCells>
  <hyperlinks>
    <hyperlink ref="A196" r:id="rId1" display="http://dkpp.rv.ua/index.php?level=70.22.1"/>
  </hyperlinks>
  <printOptions/>
  <pageMargins left="0.61" right="0.3937007874015748" top="0.2" bottom="0.1968503937007874" header="0.1968503937007874" footer="0.1968503937007874"/>
  <pageSetup fitToHeight="0" fitToWidth="1" horizontalDpi="600" verticalDpi="600" orientation="portrait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2015-12-30T11:06:40Z</cp:lastPrinted>
  <dcterms:created xsi:type="dcterms:W3CDTF">1996-10-08T23:32:33Z</dcterms:created>
  <dcterms:modified xsi:type="dcterms:W3CDTF">2016-01-26T14:43:42Z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